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9020" windowHeight="7050" activeTab="1"/>
  </bookViews>
  <sheets>
    <sheet name="Consolidated P&amp;L" sheetId="1" r:id="rId1"/>
    <sheet name="Sheet2" sheetId="2" r:id="rId2"/>
  </sheets>
  <externalReferences>
    <externalReference r:id="rId3"/>
    <externalReference r:id="rId4"/>
    <externalReference r:id="rId5"/>
  </externalReferences>
  <definedNames>
    <definedName name="_xlnm._FilterDatabase" hidden="1">'[1]Binning Q208'!#REF!</definedName>
    <definedName name="Excel_BuiltIn__FilterDatabase_2">'[2]Binning Q408'!#REF!</definedName>
    <definedName name="Recover">[3]Macro1!$A$45</definedName>
    <definedName name="TableName">"Dummy"</definedName>
  </definedNames>
  <calcPr calcId="125725" calcMode="manual"/>
  <fileRecoveryPr repairLoad="1"/>
</workbook>
</file>

<file path=xl/calcChain.xml><?xml version="1.0" encoding="utf-8"?>
<calcChain xmlns="http://schemas.openxmlformats.org/spreadsheetml/2006/main">
  <c r="J13" i="2"/>
  <c r="J12"/>
  <c r="J14" s="1"/>
  <c r="I13"/>
  <c r="I12"/>
  <c r="I14" s="1"/>
  <c r="H13"/>
  <c r="H12"/>
  <c r="H14" s="1"/>
  <c r="G13"/>
  <c r="G12"/>
  <c r="G14" s="1"/>
  <c r="F13"/>
  <c r="F12"/>
  <c r="F14" s="1"/>
  <c r="E13"/>
  <c r="E12"/>
  <c r="E14" s="1"/>
  <c r="J9"/>
  <c r="J8"/>
  <c r="J7"/>
  <c r="J6"/>
  <c r="J5"/>
  <c r="I9"/>
  <c r="I8"/>
  <c r="I7"/>
  <c r="I6"/>
  <c r="I5"/>
  <c r="H9"/>
  <c r="H8"/>
  <c r="H7"/>
  <c r="H6"/>
  <c r="H5"/>
  <c r="G9"/>
  <c r="G8"/>
  <c r="G7"/>
  <c r="G6"/>
  <c r="G5"/>
  <c r="F9"/>
  <c r="F8"/>
  <c r="F7"/>
  <c r="F6"/>
  <c r="F5"/>
  <c r="E9"/>
  <c r="E8"/>
  <c r="E7"/>
  <c r="E6"/>
  <c r="E5"/>
  <c r="F186" i="1"/>
  <c r="E186"/>
  <c r="F182"/>
  <c r="E182"/>
  <c r="F176"/>
  <c r="E176"/>
  <c r="F169"/>
  <c r="E169"/>
  <c r="F167"/>
  <c r="E167"/>
  <c r="F160"/>
  <c r="E160"/>
  <c r="F155"/>
  <c r="E155"/>
  <c r="F152"/>
  <c r="F151"/>
  <c r="F149" s="1"/>
  <c r="E149"/>
  <c r="F144"/>
  <c r="V116"/>
  <c r="U116"/>
  <c r="T116"/>
  <c r="S116"/>
  <c r="O116"/>
  <c r="K116"/>
  <c r="K29" s="1"/>
  <c r="G116"/>
  <c r="E116"/>
  <c r="W115"/>
  <c r="Q115"/>
  <c r="R115" s="1"/>
  <c r="P115"/>
  <c r="N115"/>
  <c r="M115"/>
  <c r="L115"/>
  <c r="J115"/>
  <c r="I115"/>
  <c r="H115"/>
  <c r="F115"/>
  <c r="X114"/>
  <c r="W114"/>
  <c r="Q114"/>
  <c r="P114"/>
  <c r="M114"/>
  <c r="L114"/>
  <c r="I114"/>
  <c r="H114"/>
  <c r="F114"/>
  <c r="W113"/>
  <c r="X113" s="1"/>
  <c r="R113"/>
  <c r="Q113"/>
  <c r="P113"/>
  <c r="M113"/>
  <c r="L113"/>
  <c r="I113"/>
  <c r="H113"/>
  <c r="F113"/>
  <c r="W112"/>
  <c r="X112" s="1"/>
  <c r="R112"/>
  <c r="Q112"/>
  <c r="Q116" s="1"/>
  <c r="Q29" s="1"/>
  <c r="P112"/>
  <c r="P116" s="1"/>
  <c r="P29" s="1"/>
  <c r="N112"/>
  <c r="M112"/>
  <c r="M116" s="1"/>
  <c r="M29" s="1"/>
  <c r="L112"/>
  <c r="L116" s="1"/>
  <c r="L29" s="1"/>
  <c r="J112"/>
  <c r="I112"/>
  <c r="I116" s="1"/>
  <c r="I29" s="1"/>
  <c r="H112"/>
  <c r="H116" s="1"/>
  <c r="H29" s="1"/>
  <c r="F112"/>
  <c r="F116" s="1"/>
  <c r="F29" s="1"/>
  <c r="V108"/>
  <c r="U108"/>
  <c r="T108"/>
  <c r="S108"/>
  <c r="O108"/>
  <c r="O27" s="1"/>
  <c r="K108"/>
  <c r="G108"/>
  <c r="E108"/>
  <c r="X107"/>
  <c r="W107"/>
  <c r="R107"/>
  <c r="Q107"/>
  <c r="P107"/>
  <c r="L107"/>
  <c r="J107"/>
  <c r="I107"/>
  <c r="M107" s="1"/>
  <c r="N107" s="1"/>
  <c r="H107"/>
  <c r="F107"/>
  <c r="X106"/>
  <c r="W106"/>
  <c r="R106"/>
  <c r="Q106"/>
  <c r="P106"/>
  <c r="N106"/>
  <c r="M106"/>
  <c r="L106"/>
  <c r="I106"/>
  <c r="H106"/>
  <c r="F106"/>
  <c r="Q105"/>
  <c r="W105" s="1"/>
  <c r="P105"/>
  <c r="R105" s="1"/>
  <c r="X105" s="1"/>
  <c r="N105"/>
  <c r="M105"/>
  <c r="L105"/>
  <c r="I105"/>
  <c r="H105"/>
  <c r="G105"/>
  <c r="E105"/>
  <c r="F105" s="1"/>
  <c r="W104"/>
  <c r="W108" s="1"/>
  <c r="R104"/>
  <c r="X104" s="1"/>
  <c r="X108" s="1"/>
  <c r="Q104"/>
  <c r="Q108" s="1"/>
  <c r="P104"/>
  <c r="P108" s="1"/>
  <c r="P27" s="1"/>
  <c r="N104"/>
  <c r="M104"/>
  <c r="L104"/>
  <c r="J104"/>
  <c r="I104"/>
  <c r="H104"/>
  <c r="F104"/>
  <c r="X103"/>
  <c r="W103"/>
  <c r="R103"/>
  <c r="Q103"/>
  <c r="P103"/>
  <c r="L103"/>
  <c r="L108" s="1"/>
  <c r="L27" s="1"/>
  <c r="I103"/>
  <c r="I108" s="1"/>
  <c r="I27" s="1"/>
  <c r="H103"/>
  <c r="H108" s="1"/>
  <c r="H27" s="1"/>
  <c r="F103"/>
  <c r="V94"/>
  <c r="V96" s="1"/>
  <c r="V98" s="1"/>
  <c r="U94"/>
  <c r="T94"/>
  <c r="O94"/>
  <c r="K94"/>
  <c r="W93"/>
  <c r="R93"/>
  <c r="X93" s="1"/>
  <c r="Q93"/>
  <c r="P93"/>
  <c r="N93"/>
  <c r="M93"/>
  <c r="L93"/>
  <c r="J93"/>
  <c r="I93"/>
  <c r="H93"/>
  <c r="F93"/>
  <c r="W92"/>
  <c r="S92"/>
  <c r="Q92"/>
  <c r="P92"/>
  <c r="L92"/>
  <c r="J92"/>
  <c r="I92"/>
  <c r="M92" s="1"/>
  <c r="N92" s="1"/>
  <c r="H92"/>
  <c r="G92"/>
  <c r="F92"/>
  <c r="E92"/>
  <c r="W91"/>
  <c r="Q91"/>
  <c r="P91"/>
  <c r="M91"/>
  <c r="N91" s="1"/>
  <c r="L91"/>
  <c r="J91"/>
  <c r="I91"/>
  <c r="H91"/>
  <c r="F91"/>
  <c r="X90"/>
  <c r="W90"/>
  <c r="R90"/>
  <c r="Q90"/>
  <c r="P90"/>
  <c r="M90"/>
  <c r="L90"/>
  <c r="I90"/>
  <c r="H90"/>
  <c r="F90"/>
  <c r="R89"/>
  <c r="X89" s="1"/>
  <c r="Q89"/>
  <c r="W89" s="1"/>
  <c r="P89"/>
  <c r="M89"/>
  <c r="L89"/>
  <c r="I89"/>
  <c r="H89"/>
  <c r="F89"/>
  <c r="R88"/>
  <c r="X88" s="1"/>
  <c r="Q88"/>
  <c r="W88" s="1"/>
  <c r="P88"/>
  <c r="N88"/>
  <c r="M88"/>
  <c r="L88"/>
  <c r="J88"/>
  <c r="I88"/>
  <c r="H88"/>
  <c r="F88"/>
  <c r="W87"/>
  <c r="Q87"/>
  <c r="P87"/>
  <c r="L87"/>
  <c r="I87"/>
  <c r="J87" s="1"/>
  <c r="H87"/>
  <c r="F87"/>
  <c r="W86"/>
  <c r="Q86"/>
  <c r="P86"/>
  <c r="M86"/>
  <c r="L86"/>
  <c r="I86"/>
  <c r="J86" s="1"/>
  <c r="H86"/>
  <c r="F86"/>
  <c r="X85"/>
  <c r="W85"/>
  <c r="R85"/>
  <c r="Q85"/>
  <c r="Q82" s="1"/>
  <c r="P85"/>
  <c r="P82" s="1"/>
  <c r="N85"/>
  <c r="M85"/>
  <c r="L85"/>
  <c r="J85"/>
  <c r="I85"/>
  <c r="H85"/>
  <c r="F85"/>
  <c r="W84"/>
  <c r="Q84"/>
  <c r="R84" s="1"/>
  <c r="X84" s="1"/>
  <c r="P84"/>
  <c r="M84"/>
  <c r="N84" s="1"/>
  <c r="L84"/>
  <c r="J84"/>
  <c r="I84"/>
  <c r="H84"/>
  <c r="F84"/>
  <c r="W83"/>
  <c r="Q83"/>
  <c r="P83"/>
  <c r="M83"/>
  <c r="N83" s="1"/>
  <c r="L83"/>
  <c r="L82" s="1"/>
  <c r="J83"/>
  <c r="I83"/>
  <c r="I82" s="1"/>
  <c r="H83"/>
  <c r="H82" s="1"/>
  <c r="F83"/>
  <c r="F82" s="1"/>
  <c r="S82"/>
  <c r="O82"/>
  <c r="K82"/>
  <c r="G82"/>
  <c r="E82"/>
  <c r="W81"/>
  <c r="Q81"/>
  <c r="P81"/>
  <c r="L81"/>
  <c r="I81"/>
  <c r="J81" s="1"/>
  <c r="H81"/>
  <c r="F81"/>
  <c r="X80"/>
  <c r="W80"/>
  <c r="R80"/>
  <c r="Q80"/>
  <c r="P80"/>
  <c r="N80"/>
  <c r="M80"/>
  <c r="L80"/>
  <c r="J80"/>
  <c r="I80"/>
  <c r="H80"/>
  <c r="F80"/>
  <c r="Q79"/>
  <c r="R79" s="1"/>
  <c r="X79" s="1"/>
  <c r="P79"/>
  <c r="N79"/>
  <c r="M79"/>
  <c r="L79"/>
  <c r="J79"/>
  <c r="I79"/>
  <c r="H79"/>
  <c r="F79"/>
  <c r="W78"/>
  <c r="Q78"/>
  <c r="R78" s="1"/>
  <c r="X78" s="1"/>
  <c r="P78"/>
  <c r="N78"/>
  <c r="M78"/>
  <c r="L78"/>
  <c r="J78"/>
  <c r="I78"/>
  <c r="H78"/>
  <c r="F78"/>
  <c r="X77"/>
  <c r="W77"/>
  <c r="R77"/>
  <c r="Q77"/>
  <c r="P77"/>
  <c r="M77"/>
  <c r="L77"/>
  <c r="I77"/>
  <c r="H77"/>
  <c r="F77"/>
  <c r="W76"/>
  <c r="R76"/>
  <c r="X76" s="1"/>
  <c r="Q76"/>
  <c r="P76"/>
  <c r="M76"/>
  <c r="L76"/>
  <c r="I76"/>
  <c r="H76"/>
  <c r="F76"/>
  <c r="W75"/>
  <c r="W72" s="1"/>
  <c r="R75"/>
  <c r="X75" s="1"/>
  <c r="Q75"/>
  <c r="Q72" s="1"/>
  <c r="P75"/>
  <c r="P72" s="1"/>
  <c r="N75"/>
  <c r="M75"/>
  <c r="L75"/>
  <c r="L72" s="1"/>
  <c r="J75"/>
  <c r="I75"/>
  <c r="H75"/>
  <c r="F75"/>
  <c r="W74"/>
  <c r="S74"/>
  <c r="Q74"/>
  <c r="P74"/>
  <c r="L74"/>
  <c r="J74"/>
  <c r="I74"/>
  <c r="M74" s="1"/>
  <c r="N74" s="1"/>
  <c r="H74"/>
  <c r="F74"/>
  <c r="W73"/>
  <c r="Q73"/>
  <c r="P73"/>
  <c r="L73"/>
  <c r="J73"/>
  <c r="J72" s="1"/>
  <c r="I73"/>
  <c r="M73" s="1"/>
  <c r="H73"/>
  <c r="H72" s="1"/>
  <c r="F73"/>
  <c r="F72" s="1"/>
  <c r="S72"/>
  <c r="O72"/>
  <c r="K72"/>
  <c r="G72"/>
  <c r="E72"/>
  <c r="W71"/>
  <c r="Q71"/>
  <c r="P71"/>
  <c r="M71"/>
  <c r="L71"/>
  <c r="I71"/>
  <c r="J71" s="1"/>
  <c r="H71"/>
  <c r="F71"/>
  <c r="X70"/>
  <c r="W70"/>
  <c r="R70"/>
  <c r="Q70"/>
  <c r="P70"/>
  <c r="N70"/>
  <c r="M70"/>
  <c r="L70"/>
  <c r="J70"/>
  <c r="I70"/>
  <c r="H70"/>
  <c r="F70"/>
  <c r="W69"/>
  <c r="Q69"/>
  <c r="P69"/>
  <c r="L69"/>
  <c r="J69"/>
  <c r="I69"/>
  <c r="M69" s="1"/>
  <c r="N69" s="1"/>
  <c r="H69"/>
  <c r="G69"/>
  <c r="F69"/>
  <c r="E69"/>
  <c r="W68"/>
  <c r="Q68"/>
  <c r="R68" s="1"/>
  <c r="P68"/>
  <c r="N68"/>
  <c r="M68"/>
  <c r="L68"/>
  <c r="L67" s="1"/>
  <c r="J68"/>
  <c r="J67" s="1"/>
  <c r="I68"/>
  <c r="I67" s="1"/>
  <c r="H68"/>
  <c r="H67" s="1"/>
  <c r="F68"/>
  <c r="F67" s="1"/>
  <c r="W67"/>
  <c r="S67"/>
  <c r="S94" s="1"/>
  <c r="S96" s="1"/>
  <c r="S98" s="1"/>
  <c r="Q67"/>
  <c r="P67"/>
  <c r="O67"/>
  <c r="K67"/>
  <c r="G67"/>
  <c r="G94" s="1"/>
  <c r="E67"/>
  <c r="E94" s="1"/>
  <c r="V64"/>
  <c r="U64"/>
  <c r="U96" s="1"/>
  <c r="U98" s="1"/>
  <c r="T64"/>
  <c r="T96" s="1"/>
  <c r="T98" s="1"/>
  <c r="S64"/>
  <c r="R63"/>
  <c r="X63" s="1"/>
  <c r="Q63"/>
  <c r="W63" s="1"/>
  <c r="P63"/>
  <c r="M63"/>
  <c r="L63"/>
  <c r="I63"/>
  <c r="H63"/>
  <c r="F63"/>
  <c r="R62"/>
  <c r="X62" s="1"/>
  <c r="Q62"/>
  <c r="W62" s="1"/>
  <c r="P62"/>
  <c r="N62"/>
  <c r="M62"/>
  <c r="L62"/>
  <c r="J62"/>
  <c r="I62"/>
  <c r="H62"/>
  <c r="F62"/>
  <c r="W61"/>
  <c r="Q61"/>
  <c r="P61"/>
  <c r="L61"/>
  <c r="I61"/>
  <c r="M61" s="1"/>
  <c r="N61" s="1"/>
  <c r="H61"/>
  <c r="F61"/>
  <c r="W60"/>
  <c r="Q60"/>
  <c r="P60"/>
  <c r="M60"/>
  <c r="L60"/>
  <c r="I60"/>
  <c r="H60"/>
  <c r="F60"/>
  <c r="X59"/>
  <c r="W59"/>
  <c r="S59"/>
  <c r="R59"/>
  <c r="Q59"/>
  <c r="P59"/>
  <c r="N59"/>
  <c r="M59"/>
  <c r="L59"/>
  <c r="J59"/>
  <c r="I59"/>
  <c r="H59"/>
  <c r="F59"/>
  <c r="Q58"/>
  <c r="R58" s="1"/>
  <c r="X58" s="1"/>
  <c r="P58"/>
  <c r="N58"/>
  <c r="M58"/>
  <c r="L58"/>
  <c r="J58"/>
  <c r="I58"/>
  <c r="H58"/>
  <c r="F58"/>
  <c r="O57"/>
  <c r="P57" s="1"/>
  <c r="N57"/>
  <c r="M57"/>
  <c r="L57"/>
  <c r="J57"/>
  <c r="I57"/>
  <c r="H57"/>
  <c r="F57"/>
  <c r="W56"/>
  <c r="Q56"/>
  <c r="P56"/>
  <c r="M56"/>
  <c r="L56"/>
  <c r="I56"/>
  <c r="J56" s="1"/>
  <c r="H56"/>
  <c r="F56"/>
  <c r="W55"/>
  <c r="Q55"/>
  <c r="P55"/>
  <c r="M55"/>
  <c r="L55"/>
  <c r="I55"/>
  <c r="H55"/>
  <c r="F55"/>
  <c r="X54"/>
  <c r="W54"/>
  <c r="R54"/>
  <c r="Q54"/>
  <c r="P54"/>
  <c r="N54"/>
  <c r="M54"/>
  <c r="L54"/>
  <c r="J54"/>
  <c r="I54"/>
  <c r="H54"/>
  <c r="F54"/>
  <c r="W53"/>
  <c r="Q53"/>
  <c r="P53"/>
  <c r="L53"/>
  <c r="J53"/>
  <c r="I53"/>
  <c r="M53" s="1"/>
  <c r="N53" s="1"/>
  <c r="H53"/>
  <c r="F53"/>
  <c r="W52"/>
  <c r="Q52"/>
  <c r="P52"/>
  <c r="L52"/>
  <c r="J52"/>
  <c r="I52"/>
  <c r="M52" s="1"/>
  <c r="N52" s="1"/>
  <c r="H52"/>
  <c r="F52"/>
  <c r="X51"/>
  <c r="W51"/>
  <c r="R51"/>
  <c r="Q51"/>
  <c r="P51"/>
  <c r="P49" s="1"/>
  <c r="P64" s="1"/>
  <c r="N51"/>
  <c r="M51"/>
  <c r="L51"/>
  <c r="I51"/>
  <c r="H51"/>
  <c r="F51"/>
  <c r="W50"/>
  <c r="R50"/>
  <c r="R49" s="1"/>
  <c r="Q50"/>
  <c r="Q49" s="1"/>
  <c r="N50"/>
  <c r="M50"/>
  <c r="L50"/>
  <c r="J50"/>
  <c r="I50"/>
  <c r="H50"/>
  <c r="F50"/>
  <c r="O49"/>
  <c r="O64" s="1"/>
  <c r="N49"/>
  <c r="M49"/>
  <c r="L49"/>
  <c r="L64" s="1"/>
  <c r="K49"/>
  <c r="K64" s="1"/>
  <c r="I49"/>
  <c r="I64" s="1"/>
  <c r="H49"/>
  <c r="H64" s="1"/>
  <c r="G49"/>
  <c r="G64" s="1"/>
  <c r="F49"/>
  <c r="F64" s="1"/>
  <c r="E49"/>
  <c r="E64" s="1"/>
  <c r="V46"/>
  <c r="U46"/>
  <c r="T46"/>
  <c r="S46"/>
  <c r="O46"/>
  <c r="O22" s="1"/>
  <c r="O24" s="1"/>
  <c r="K46"/>
  <c r="P45"/>
  <c r="M45"/>
  <c r="L45"/>
  <c r="I45"/>
  <c r="H45"/>
  <c r="F45"/>
  <c r="W44"/>
  <c r="R44"/>
  <c r="P44"/>
  <c r="N44"/>
  <c r="M44"/>
  <c r="L44"/>
  <c r="I44"/>
  <c r="H44"/>
  <c r="G44"/>
  <c r="E44"/>
  <c r="F44" s="1"/>
  <c r="X43"/>
  <c r="W43"/>
  <c r="X42"/>
  <c r="W42"/>
  <c r="R42"/>
  <c r="P42"/>
  <c r="P46" s="1"/>
  <c r="N42"/>
  <c r="M42"/>
  <c r="L42"/>
  <c r="J42"/>
  <c r="I42"/>
  <c r="H42"/>
  <c r="F42"/>
  <c r="W41"/>
  <c r="P41"/>
  <c r="L41"/>
  <c r="L46" s="1"/>
  <c r="I41"/>
  <c r="J41" s="1"/>
  <c r="H41"/>
  <c r="F41"/>
  <c r="W40"/>
  <c r="Q40"/>
  <c r="P40"/>
  <c r="O40"/>
  <c r="L40"/>
  <c r="J40"/>
  <c r="I40"/>
  <c r="M40" s="1"/>
  <c r="H40"/>
  <c r="H46" s="1"/>
  <c r="H22" s="1"/>
  <c r="G40"/>
  <c r="G46" s="1"/>
  <c r="F40"/>
  <c r="E40"/>
  <c r="E46" s="1"/>
  <c r="W37"/>
  <c r="S37"/>
  <c r="Q37"/>
  <c r="P37"/>
  <c r="M37"/>
  <c r="L37"/>
  <c r="I37"/>
  <c r="H37"/>
  <c r="F37"/>
  <c r="O29"/>
  <c r="G29"/>
  <c r="E29"/>
  <c r="K27"/>
  <c r="G27"/>
  <c r="E27"/>
  <c r="K22"/>
  <c r="L18"/>
  <c r="H18"/>
  <c r="F18"/>
  <c r="X17"/>
  <c r="R17"/>
  <c r="X15"/>
  <c r="X14"/>
  <c r="R13"/>
  <c r="X13" s="1"/>
  <c r="X12"/>
  <c r="X115" s="1"/>
  <c r="R12"/>
  <c r="R81" s="1"/>
  <c r="X81" s="1"/>
  <c r="N12"/>
  <c r="N60" s="1"/>
  <c r="J12"/>
  <c r="J55" s="1"/>
  <c r="X11"/>
  <c r="R11"/>
  <c r="J10"/>
  <c r="N10" s="1"/>
  <c r="X49" l="1"/>
  <c r="W49"/>
  <c r="Q64"/>
  <c r="N40"/>
  <c r="J65"/>
  <c r="F65"/>
  <c r="L94"/>
  <c r="P94"/>
  <c r="J46"/>
  <c r="J22" s="1"/>
  <c r="X68"/>
  <c r="S109"/>
  <c r="S117" s="1"/>
  <c r="S100"/>
  <c r="S121" s="1"/>
  <c r="R10"/>
  <c r="X10" s="1"/>
  <c r="N18"/>
  <c r="T109"/>
  <c r="T117" s="1"/>
  <c r="T100"/>
  <c r="T121" s="1"/>
  <c r="Q94"/>
  <c r="P22"/>
  <c r="P24" s="1"/>
  <c r="P47"/>
  <c r="X116"/>
  <c r="X29" s="1"/>
  <c r="F108"/>
  <c r="F27" s="1"/>
  <c r="H47"/>
  <c r="G22"/>
  <c r="U109"/>
  <c r="U117" s="1"/>
  <c r="U100"/>
  <c r="U121" s="1"/>
  <c r="V100"/>
  <c r="V121" s="1"/>
  <c r="V109"/>
  <c r="V117" s="1"/>
  <c r="W82"/>
  <c r="W94" s="1"/>
  <c r="I94"/>
  <c r="F94"/>
  <c r="F96" s="1"/>
  <c r="H65"/>
  <c r="H94"/>
  <c r="H96" s="1"/>
  <c r="G96"/>
  <c r="E96"/>
  <c r="F46"/>
  <c r="F22" s="1"/>
  <c r="E22"/>
  <c r="N67"/>
  <c r="M64"/>
  <c r="J116"/>
  <c r="J29" s="1"/>
  <c r="M67"/>
  <c r="P65"/>
  <c r="O96"/>
  <c r="L22"/>
  <c r="L47"/>
  <c r="N73"/>
  <c r="N72" s="1"/>
  <c r="M72"/>
  <c r="L65"/>
  <c r="K96"/>
  <c r="W116"/>
  <c r="W29" s="1"/>
  <c r="N77"/>
  <c r="J106"/>
  <c r="R37"/>
  <c r="R56"/>
  <c r="X56" s="1"/>
  <c r="N90"/>
  <c r="R108"/>
  <c r="J18"/>
  <c r="N37"/>
  <c r="J51"/>
  <c r="J49" s="1"/>
  <c r="J64" s="1"/>
  <c r="R87"/>
  <c r="X87" s="1"/>
  <c r="J45"/>
  <c r="R53"/>
  <c r="X53" s="1"/>
  <c r="M82"/>
  <c r="R92"/>
  <c r="X92" s="1"/>
  <c r="J37"/>
  <c r="J77"/>
  <c r="X50"/>
  <c r="W58"/>
  <c r="I72"/>
  <c r="W79"/>
  <c r="M87"/>
  <c r="N87" s="1"/>
  <c r="R61"/>
  <c r="X61" s="1"/>
  <c r="J114"/>
  <c r="M41"/>
  <c r="N41" s="1"/>
  <c r="M103"/>
  <c r="N114"/>
  <c r="N56"/>
  <c r="X44"/>
  <c r="J61"/>
  <c r="I46"/>
  <c r="R114"/>
  <c r="R116" s="1"/>
  <c r="R29" s="1"/>
  <c r="N45"/>
  <c r="R41"/>
  <c r="X41" s="1"/>
  <c r="R74"/>
  <c r="X74" s="1"/>
  <c r="J90"/>
  <c r="R69"/>
  <c r="X69" s="1"/>
  <c r="J103"/>
  <c r="R55"/>
  <c r="X55" s="1"/>
  <c r="R60"/>
  <c r="X60" s="1"/>
  <c r="N76"/>
  <c r="N113"/>
  <c r="N116" s="1"/>
  <c r="N29" s="1"/>
  <c r="R40"/>
  <c r="J105"/>
  <c r="R52"/>
  <c r="X52" s="1"/>
  <c r="J63"/>
  <c r="N71"/>
  <c r="R73"/>
  <c r="J89"/>
  <c r="J82" s="1"/>
  <c r="J76"/>
  <c r="N86"/>
  <c r="N82" s="1"/>
  <c r="J113"/>
  <c r="R83"/>
  <c r="R91"/>
  <c r="X91" s="1"/>
  <c r="M81"/>
  <c r="N81" s="1"/>
  <c r="N63"/>
  <c r="R71"/>
  <c r="X71" s="1"/>
  <c r="N89"/>
  <c r="Q57"/>
  <c r="J60"/>
  <c r="R86"/>
  <c r="X86" s="1"/>
  <c r="J44"/>
  <c r="N55"/>
  <c r="N64" s="1"/>
  <c r="J94" l="1"/>
  <c r="J96" s="1"/>
  <c r="W96"/>
  <c r="I96"/>
  <c r="W64"/>
  <c r="N94"/>
  <c r="N96" s="1"/>
  <c r="N65"/>
  <c r="H23"/>
  <c r="H24" s="1"/>
  <c r="H26" s="1"/>
  <c r="H28" s="1"/>
  <c r="H30" s="1"/>
  <c r="H98"/>
  <c r="G23"/>
  <c r="G24" s="1"/>
  <c r="G26" s="1"/>
  <c r="G28" s="1"/>
  <c r="G30" s="1"/>
  <c r="H97"/>
  <c r="G98"/>
  <c r="E23"/>
  <c r="F97"/>
  <c r="E98"/>
  <c r="Q25"/>
  <c r="W25" s="1"/>
  <c r="O98"/>
  <c r="O25"/>
  <c r="O26" s="1"/>
  <c r="O28" s="1"/>
  <c r="O30" s="1"/>
  <c r="P97"/>
  <c r="M94"/>
  <c r="M46"/>
  <c r="F47"/>
  <c r="I22"/>
  <c r="J47"/>
  <c r="X37"/>
  <c r="P96"/>
  <c r="P95"/>
  <c r="X40"/>
  <c r="X83"/>
  <c r="X82" s="1"/>
  <c r="R82"/>
  <c r="X67"/>
  <c r="F95"/>
  <c r="E24"/>
  <c r="E26" s="1"/>
  <c r="E28" s="1"/>
  <c r="E30" s="1"/>
  <c r="K23"/>
  <c r="K24" s="1"/>
  <c r="K26" s="1"/>
  <c r="K28" s="1"/>
  <c r="K30" s="1"/>
  <c r="K98"/>
  <c r="L97"/>
  <c r="F23"/>
  <c r="F24" s="1"/>
  <c r="F26" s="1"/>
  <c r="F28" s="1"/>
  <c r="F30" s="1"/>
  <c r="F98"/>
  <c r="L96"/>
  <c r="L95"/>
  <c r="R67"/>
  <c r="S34"/>
  <c r="W34"/>
  <c r="X73"/>
  <c r="X72" s="1"/>
  <c r="R72"/>
  <c r="J108"/>
  <c r="J27" s="1"/>
  <c r="N46"/>
  <c r="H95"/>
  <c r="Q96"/>
  <c r="M108"/>
  <c r="N103"/>
  <c r="N108" s="1"/>
  <c r="R57"/>
  <c r="W57"/>
  <c r="H109" l="1"/>
  <c r="H117" s="1"/>
  <c r="H100"/>
  <c r="H121" s="1"/>
  <c r="H33" s="1"/>
  <c r="R94"/>
  <c r="R96" s="1"/>
  <c r="L98"/>
  <c r="L23"/>
  <c r="L24" s="1"/>
  <c r="L26" s="1"/>
  <c r="L28" s="1"/>
  <c r="L30" s="1"/>
  <c r="F99"/>
  <c r="E100"/>
  <c r="E109"/>
  <c r="J95"/>
  <c r="J23"/>
  <c r="J24" s="1"/>
  <c r="J26" s="1"/>
  <c r="J28" s="1"/>
  <c r="J30" s="1"/>
  <c r="J98"/>
  <c r="H99"/>
  <c r="G100"/>
  <c r="G109"/>
  <c r="I23"/>
  <c r="I24" s="1"/>
  <c r="I26" s="1"/>
  <c r="I28" s="1"/>
  <c r="I30" s="1"/>
  <c r="I98"/>
  <c r="J97"/>
  <c r="N98"/>
  <c r="N23"/>
  <c r="R23"/>
  <c r="X23" s="1"/>
  <c r="R22"/>
  <c r="N22"/>
  <c r="K109"/>
  <c r="K100"/>
  <c r="F100"/>
  <c r="F121" s="1"/>
  <c r="F33" s="1"/>
  <c r="F109"/>
  <c r="F117" s="1"/>
  <c r="M96"/>
  <c r="N95"/>
  <c r="X94"/>
  <c r="O109"/>
  <c r="O100"/>
  <c r="O121" s="1"/>
  <c r="O33" s="1"/>
  <c r="P99"/>
  <c r="Q22"/>
  <c r="M22"/>
  <c r="N47"/>
  <c r="P98"/>
  <c r="P25"/>
  <c r="P26" s="1"/>
  <c r="P28" s="1"/>
  <c r="P30" s="1"/>
  <c r="R25"/>
  <c r="X25" s="1"/>
  <c r="M27"/>
  <c r="Q27"/>
  <c r="W27" s="1"/>
  <c r="N27"/>
  <c r="R27"/>
  <c r="X27" s="1"/>
  <c r="X57"/>
  <c r="X64" s="1"/>
  <c r="R64"/>
  <c r="L109" l="1"/>
  <c r="L117" s="1"/>
  <c r="L100"/>
  <c r="L121" s="1"/>
  <c r="L33" s="1"/>
  <c r="M24"/>
  <c r="M26" s="1"/>
  <c r="M28" s="1"/>
  <c r="M30" s="1"/>
  <c r="O117"/>
  <c r="P110"/>
  <c r="Q24"/>
  <c r="Q26" s="1"/>
  <c r="Q28" s="1"/>
  <c r="Q30" s="1"/>
  <c r="W22"/>
  <c r="W24" s="1"/>
  <c r="W26" s="1"/>
  <c r="W28" s="1"/>
  <c r="W30" s="1"/>
  <c r="H110"/>
  <c r="G117"/>
  <c r="H118" s="1"/>
  <c r="E117"/>
  <c r="F118" s="1"/>
  <c r="F110"/>
  <c r="J99"/>
  <c r="I109"/>
  <c r="I100"/>
  <c r="K117"/>
  <c r="M98"/>
  <c r="Q23"/>
  <c r="W23" s="1"/>
  <c r="M23"/>
  <c r="N97"/>
  <c r="F101"/>
  <c r="E121"/>
  <c r="P109"/>
  <c r="P117" s="1"/>
  <c r="P100"/>
  <c r="H101"/>
  <c r="G121"/>
  <c r="J109"/>
  <c r="J117" s="1"/>
  <c r="J100"/>
  <c r="J121" s="1"/>
  <c r="J33" s="1"/>
  <c r="N109"/>
  <c r="N117" s="1"/>
  <c r="N100"/>
  <c r="N121" s="1"/>
  <c r="N33" s="1"/>
  <c r="K121"/>
  <c r="N24"/>
  <c r="N26" s="1"/>
  <c r="N28" s="1"/>
  <c r="N30" s="1"/>
  <c r="R24"/>
  <c r="R26" s="1"/>
  <c r="R28" s="1"/>
  <c r="X22"/>
  <c r="X24" s="1"/>
  <c r="X26" s="1"/>
  <c r="X28" s="1"/>
  <c r="X30" s="1"/>
  <c r="L99"/>
  <c r="X96"/>
  <c r="K33" l="1"/>
  <c r="L122"/>
  <c r="R30"/>
  <c r="P122"/>
  <c r="P118"/>
  <c r="J110"/>
  <c r="I117"/>
  <c r="J118" s="1"/>
  <c r="J101"/>
  <c r="I121"/>
  <c r="H122"/>
  <c r="G33"/>
  <c r="L110"/>
  <c r="M109"/>
  <c r="N99"/>
  <c r="M100"/>
  <c r="F122"/>
  <c r="E33"/>
  <c r="L118"/>
  <c r="P121"/>
  <c r="P33" s="1"/>
  <c r="P101"/>
  <c r="L101"/>
  <c r="J122" l="1"/>
  <c r="I33"/>
  <c r="N101"/>
  <c r="M121"/>
  <c r="M117"/>
  <c r="N118" s="1"/>
  <c r="N110"/>
  <c r="M33" l="1"/>
  <c r="N122"/>
  <c r="Q45"/>
  <c r="Q46" l="1"/>
  <c r="Q98" s="1"/>
  <c r="W45"/>
  <c r="R45"/>
  <c r="R46" s="1"/>
  <c r="R98" s="1"/>
  <c r="Q109" l="1"/>
  <c r="Q117" s="1"/>
  <c r="Q100"/>
  <c r="Q121" s="1"/>
  <c r="X45"/>
  <c r="X46" s="1"/>
  <c r="X98" s="1"/>
  <c r="W46"/>
  <c r="R109"/>
  <c r="R100"/>
  <c r="R121" s="1"/>
  <c r="X109" l="1"/>
  <c r="X117" s="1"/>
  <c r="X100"/>
  <c r="X121" s="1"/>
  <c r="R117"/>
  <c r="R31"/>
  <c r="Q33"/>
  <c r="W33"/>
  <c r="R33"/>
  <c r="X33"/>
  <c r="X47"/>
  <c r="W98"/>
  <c r="W109" l="1"/>
  <c r="W117" s="1"/>
  <c r="W100"/>
  <c r="W121" s="1"/>
</calcChain>
</file>

<file path=xl/comments1.xml><?xml version="1.0" encoding="utf-8"?>
<comments xmlns="http://schemas.openxmlformats.org/spreadsheetml/2006/main">
  <authors>
    <author>poweritdept</author>
    <author>fchan</author>
  </authors>
  <commentList>
    <comment ref="S37" authorId="0">
      <text>
        <r>
          <rPr>
            <b/>
            <sz val="8"/>
            <color indexed="81"/>
            <rFont val="Tahoma"/>
            <family val="2"/>
          </rPr>
          <t>Methodology:
Units ship to BU [per SKU] x Module Standard cost per unit
Plus, Landed Freight Billing , Plus Mfg Support Overhead Allocation</t>
        </r>
      </text>
    </comment>
    <comment ref="B42" authorId="1">
      <text>
        <r>
          <rPr>
            <b/>
            <sz val="8"/>
            <color indexed="81"/>
            <rFont val="Tahoma"/>
            <family val="2"/>
          </rPr>
          <t>fchan:</t>
        </r>
        <r>
          <rPr>
            <sz val="8"/>
            <color indexed="81"/>
            <rFont val="Tahoma"/>
            <family val="2"/>
          </rPr>
          <t xml:space="preserve">
cheche to check if need to be included in std change or not today</t>
        </r>
      </text>
    </comment>
  </commentList>
</comments>
</file>

<file path=xl/sharedStrings.xml><?xml version="1.0" encoding="utf-8"?>
<sst xmlns="http://schemas.openxmlformats.org/spreadsheetml/2006/main" count="495" uniqueCount="221">
  <si>
    <t>- Shipped to BU logic not yet incorporated</t>
  </si>
  <si>
    <t>FAB 1</t>
  </si>
  <si>
    <t>FAB2</t>
  </si>
  <si>
    <t>FAB1&amp;2</t>
  </si>
  <si>
    <t>FAB3</t>
  </si>
  <si>
    <t>TOTAL FAB</t>
  </si>
  <si>
    <t>Total Module</t>
  </si>
  <si>
    <t>Total Factory</t>
  </si>
  <si>
    <t>Mfg. Support</t>
  </si>
  <si>
    <t>Ops Others</t>
  </si>
  <si>
    <t>Consolidated Operations</t>
  </si>
  <si>
    <t>PROFIT &amp; LOSS</t>
  </si>
  <si>
    <t>Source</t>
  </si>
  <si>
    <t>Account / Calculation</t>
  </si>
  <si>
    <t>Q112 Actual</t>
  </si>
  <si>
    <t>in $K</t>
  </si>
  <si>
    <t>in $/watt</t>
  </si>
  <si>
    <t>OPERATIONS METRICS:</t>
  </si>
  <si>
    <t>Cell Output [kpcs]</t>
  </si>
  <si>
    <t>Material Transaction Report - Oracle</t>
  </si>
  <si>
    <t>Calculation based on Output logic</t>
  </si>
  <si>
    <t>Module Output [kpcs]</t>
  </si>
  <si>
    <t>MW Output [flash]</t>
  </si>
  <si>
    <t>Flash Database</t>
  </si>
  <si>
    <t>Manual Input</t>
  </si>
  <si>
    <t>MW Output [nameplate]</t>
  </si>
  <si>
    <t>MW Shipped to BU</t>
  </si>
  <si>
    <t>From other source</t>
  </si>
  <si>
    <t>MW Recognized [Customer]</t>
  </si>
  <si>
    <t>Financial Yield [%]</t>
  </si>
  <si>
    <t>MES/Oracle</t>
  </si>
  <si>
    <t>Manual Input (this may be an automated calculation for Fab)</t>
  </si>
  <si>
    <t>OEE [%]</t>
  </si>
  <si>
    <t>Watt/Unit  [Cell or Module]</t>
  </si>
  <si>
    <t>Report Calculation</t>
  </si>
  <si>
    <t>MW output [flash]  / Cell Output [kpcs]</t>
  </si>
  <si>
    <t>COST PER WATT:</t>
  </si>
  <si>
    <t>Silicon Cost</t>
  </si>
  <si>
    <t>please refer to actual formula</t>
  </si>
  <si>
    <t>Cell Conversion Cost</t>
  </si>
  <si>
    <t>Total Cell Cost</t>
  </si>
  <si>
    <t>Module Conversion Cost</t>
  </si>
  <si>
    <t>Total Direct Cost</t>
  </si>
  <si>
    <t>Indirect Cost</t>
  </si>
  <si>
    <t>Total Cost of Goods Manufacture (COGM)</t>
  </si>
  <si>
    <t>Inventory Reval(net) / COGM to COGS adj.</t>
  </si>
  <si>
    <t>Total Cost of Goods Sold (COGS)</t>
  </si>
  <si>
    <t>OPERATIONS MARGIN(LOSS)</t>
  </si>
  <si>
    <t xml:space="preserve">Line 7 Variance Gain (Loss) </t>
  </si>
  <si>
    <t>formulated from TOTAL MFG MARGIN / (LOSS) for Fab &amp; Module</t>
  </si>
  <si>
    <t>Line 8 Mfg Support Cost (Spend)</t>
  </si>
  <si>
    <t>formulated from TOTAL MFG MARGIN / (LOSS) for Supply Chain</t>
  </si>
  <si>
    <t>INTERNAL REVENUE</t>
  </si>
  <si>
    <t>Oralce - Account Balances</t>
  </si>
  <si>
    <t>see account mapping</t>
  </si>
  <si>
    <t>DIRECT MATERIALS - Silicon/Cells/Modules</t>
  </si>
  <si>
    <t>Direct Materials - Silicon/Cells/Modules</t>
  </si>
  <si>
    <t>Purchase Price Variance  on DM</t>
  </si>
  <si>
    <t>51501 - Purchase Price Variance from Sale to Subcon</t>
  </si>
  <si>
    <t>Standard Change of Raw Materials [Silicon/Cells]</t>
  </si>
  <si>
    <t>52010 - Inventory Change-RM</t>
  </si>
  <si>
    <t>Yield Variance - Silicon</t>
  </si>
  <si>
    <t>Oralce - GL Details</t>
  </si>
  <si>
    <r>
      <t xml:space="preserve">Manual Split - </t>
    </r>
    <r>
      <rPr>
        <sz val="11"/>
        <color rgb="FFFF0000"/>
        <rFont val="Calibri"/>
        <family val="2"/>
        <scheme val="minor"/>
      </rPr>
      <t>for manual input</t>
    </r>
  </si>
  <si>
    <t>Encapsulation Loss</t>
  </si>
  <si>
    <t>formulated from encapsulation loss below</t>
  </si>
  <si>
    <t>Factory Variance - Fab/Module</t>
  </si>
  <si>
    <t>formulated from TOTAL MFG MARGIN / (LOSS) of Total FAB</t>
  </si>
  <si>
    <t>VARIABLE OVERHEAD</t>
  </si>
  <si>
    <t>Yield Loss</t>
  </si>
  <si>
    <t xml:space="preserve">Encapsulation Loss </t>
  </si>
  <si>
    <t>Manual Calculation</t>
  </si>
  <si>
    <t>for manual input</t>
  </si>
  <si>
    <t>Yield Variance</t>
  </si>
  <si>
    <t>Module Direct Materials - non Cells</t>
  </si>
  <si>
    <t>Indirect Materials</t>
  </si>
  <si>
    <t>Repairs and maintenance</t>
  </si>
  <si>
    <t>Standard Change of Indirect Materials/Spares</t>
  </si>
  <si>
    <t>Subcon/CM</t>
  </si>
  <si>
    <t>Material Freight</t>
  </si>
  <si>
    <t>Product Returns</t>
  </si>
  <si>
    <t>Outbound Freight</t>
  </si>
  <si>
    <t xml:space="preserve">Purchase Price Variance </t>
  </si>
  <si>
    <t>Other variable overhead</t>
  </si>
  <si>
    <t>Test Wafers</t>
  </si>
  <si>
    <t>Inventory Cycle Count Adjustments</t>
  </si>
  <si>
    <t>TOTAL VARIABLE OVERHEAD</t>
  </si>
  <si>
    <t>FIXED OVERHEAD</t>
  </si>
  <si>
    <t>Depreciation Expense</t>
  </si>
  <si>
    <t>Sub-total</t>
  </si>
  <si>
    <t>Depn-Basebuild</t>
  </si>
  <si>
    <t>Depn-Equipt</t>
  </si>
  <si>
    <t>Utilities Expense</t>
  </si>
  <si>
    <t>Facility Maintenance</t>
  </si>
  <si>
    <t>Labor</t>
  </si>
  <si>
    <t>Direct Labor</t>
  </si>
  <si>
    <t>Indirect Labor</t>
  </si>
  <si>
    <t>DL/IDL Contractuals</t>
  </si>
  <si>
    <t>Expensed Equipment</t>
  </si>
  <si>
    <t>Expensed Tooling</t>
  </si>
  <si>
    <t>Outside Services</t>
  </si>
  <si>
    <t>ITG Cost</t>
  </si>
  <si>
    <t>Expense Allocation</t>
  </si>
  <si>
    <t>Travel Expenses</t>
  </si>
  <si>
    <t>Other fixed Overhead</t>
  </si>
  <si>
    <t>Employees' Transpo</t>
  </si>
  <si>
    <t>Safety &amp; EHS</t>
  </si>
  <si>
    <t>Supplies Exp</t>
  </si>
  <si>
    <t>Leased &amp; Rent Exp</t>
  </si>
  <si>
    <t>Security</t>
  </si>
  <si>
    <t>Taxes &amp; Licenses</t>
  </si>
  <si>
    <t>Consulting &amp; Legal</t>
  </si>
  <si>
    <t>Empl Morale &amp; Trng</t>
  </si>
  <si>
    <t>Insurance</t>
  </si>
  <si>
    <t>Other Fixed Exp</t>
  </si>
  <si>
    <t>Shutdown/Startup Cost</t>
  </si>
  <si>
    <t>TOTAL FIXED OVERHEAD</t>
  </si>
  <si>
    <t>TOTAL CONVERSION COST</t>
  </si>
  <si>
    <t>TOTAL DIRECT COST</t>
  </si>
  <si>
    <t>DIRECT MARGIN/(LOSS)</t>
  </si>
  <si>
    <t>INDIRECT COST</t>
  </si>
  <si>
    <t>Preoperating Expense</t>
  </si>
  <si>
    <t>Fixed Asset Disposal</t>
  </si>
  <si>
    <t>Standard Change [FG- Cells/Module]</t>
  </si>
  <si>
    <t>Inventory Reserve [E&amp;O, LCM]</t>
  </si>
  <si>
    <t>Inventory Adjustments</t>
  </si>
  <si>
    <t>TOTAL INDIRECT COST</t>
  </si>
  <si>
    <t>TOTAL COST OF GOODS MANUFACTURED</t>
  </si>
  <si>
    <t>Cap PPV - Prior</t>
  </si>
  <si>
    <t>Manual Split</t>
  </si>
  <si>
    <t>Cap PPV - Current</t>
  </si>
  <si>
    <t>Oralce - Account Balance</t>
  </si>
  <si>
    <t>51502 - Purchase Price Variance Capitalized - [Cap PPV - Prior]</t>
  </si>
  <si>
    <t>Mfg Var Cap - Prior</t>
  </si>
  <si>
    <t>Mfg Var Cap - Current</t>
  </si>
  <si>
    <t>51506 - Material Variance Capitalized - [Mfg Var Cap - Prior]</t>
  </si>
  <si>
    <t>TOTAL VAR CAP</t>
  </si>
  <si>
    <t>TOTAL COST OF GOODS  OF SOLD</t>
  </si>
  <si>
    <t>OIE</t>
  </si>
  <si>
    <t>SPML Land</t>
  </si>
  <si>
    <t>all balances under 250 company</t>
  </si>
  <si>
    <t>TOTAL MFG MARGIN / (LOSS)</t>
  </si>
  <si>
    <t>BALANCE SHEET</t>
  </si>
  <si>
    <t>Q112 BOQ</t>
  </si>
  <si>
    <t>Q112 EOQ</t>
  </si>
  <si>
    <t>CASH METRICS</t>
  </si>
  <si>
    <t>Working Capital</t>
  </si>
  <si>
    <t>Capex (Cash Lay out)</t>
  </si>
  <si>
    <t>Inventory Turns</t>
  </si>
  <si>
    <t>Months of Inventory</t>
  </si>
  <si>
    <t>Days Payable</t>
  </si>
  <si>
    <t>Cash Conversion Cycle [Days]</t>
  </si>
  <si>
    <t>GROSS INVENTORY</t>
  </si>
  <si>
    <t>Beg. On hand</t>
  </si>
  <si>
    <t>Inventory Value [$K]- net</t>
  </si>
  <si>
    <t>Silicon</t>
  </si>
  <si>
    <t xml:space="preserve">Inventory Turns </t>
  </si>
  <si>
    <t>Cells</t>
  </si>
  <si>
    <t>Modules</t>
  </si>
  <si>
    <t>Others</t>
  </si>
  <si>
    <t>Cells Produced</t>
  </si>
  <si>
    <t>Cells Shipment to Module</t>
  </si>
  <si>
    <t>Module Produced</t>
  </si>
  <si>
    <t>Modules Shipment to BU</t>
  </si>
  <si>
    <t>Modules Shipment to Customer</t>
  </si>
  <si>
    <t>End on Hand</t>
  </si>
  <si>
    <t>INVENTORY ADJUSTMENTS</t>
  </si>
  <si>
    <t>Reserve</t>
  </si>
  <si>
    <t>Capitalized Variance</t>
  </si>
  <si>
    <t>Other Adjustment</t>
  </si>
  <si>
    <t>NET INVENTORY</t>
  </si>
  <si>
    <t>PREPAYMENTS - net of Utilization</t>
  </si>
  <si>
    <t>FIXED ASSETS</t>
  </si>
  <si>
    <t>Gross</t>
  </si>
  <si>
    <t>Accumulated Depreciation</t>
  </si>
  <si>
    <t>Net Book Value</t>
  </si>
  <si>
    <t>INVESTMENTS IN JV/SUBSIDIARIES</t>
  </si>
  <si>
    <t>First Philec</t>
  </si>
  <si>
    <t>AUO SP</t>
  </si>
  <si>
    <t>Tenesol</t>
  </si>
  <si>
    <t>Woongjin</t>
  </si>
  <si>
    <t>TOTAL ASSETS</t>
  </si>
  <si>
    <t>ACCOUNTS PAYABLE</t>
  </si>
  <si>
    <t>LONG TERM LIABILITY</t>
  </si>
  <si>
    <t>OPERATIONS INCOME/EQUITY</t>
  </si>
  <si>
    <t>Prior Income (Loss)</t>
  </si>
  <si>
    <t>Current Income (Loss)</t>
  </si>
  <si>
    <t>TOTAL LIABILITIES &amp; EQUITY</t>
  </si>
  <si>
    <t>Dept 1</t>
  </si>
  <si>
    <t>Dept 2</t>
  </si>
  <si>
    <t>Calculation Metrics A</t>
  </si>
  <si>
    <t>source1</t>
  </si>
  <si>
    <t>source2</t>
  </si>
  <si>
    <t>source3</t>
  </si>
  <si>
    <t>Calculation Metrics B</t>
  </si>
  <si>
    <t>Calculation 5a</t>
  </si>
  <si>
    <t>Calculation 5b</t>
  </si>
  <si>
    <t>Total of Calculation 5a &amp; b</t>
  </si>
  <si>
    <t>Calculation 6</t>
  </si>
  <si>
    <t>Sum of B13 and Calculation 6</t>
  </si>
  <si>
    <t xml:space="preserve">   3rd Level Field Value</t>
  </si>
  <si>
    <t>2nd Level Field Value</t>
  </si>
  <si>
    <t>dimension fields</t>
  </si>
  <si>
    <t>source4</t>
  </si>
  <si>
    <t>for description
purposes only</t>
  </si>
  <si>
    <t>expression</t>
  </si>
  <si>
    <t>Calculation 1 title</t>
  </si>
  <si>
    <t>Calculation 2 title</t>
  </si>
  <si>
    <t>Calculation 3 title</t>
  </si>
  <si>
    <t>Calculation 4 title</t>
  </si>
  <si>
    <t>1st Level Field Value - A</t>
  </si>
  <si>
    <t>1st Level Field Value - B</t>
  </si>
  <si>
    <t>1st Level Field Value - A Total</t>
  </si>
  <si>
    <t>1st Level Field Value - B Total</t>
  </si>
  <si>
    <t>Sum of A24 and A33</t>
  </si>
  <si>
    <t>Exp1</t>
  </si>
  <si>
    <t>Exp2</t>
  </si>
  <si>
    <t>Q1</t>
  </si>
  <si>
    <t>Dept2</t>
  </si>
  <si>
    <t>Dept 3</t>
  </si>
  <si>
    <t>value goes here</t>
  </si>
</sst>
</file>

<file path=xl/styles.xml><?xml version="1.0" encoding="utf-8"?>
<styleSheet xmlns="http://schemas.openxmlformats.org/spreadsheetml/2006/main">
  <numFmts count="11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_);\(#,##0.0\)"/>
    <numFmt numFmtId="165" formatCode="0.0%"/>
    <numFmt numFmtId="166" formatCode="#,##0.000_);\(#,##0.000\)"/>
    <numFmt numFmtId="167" formatCode="_(* #,##0.0000_);_(* \(#,##0.0000\);_(* &quot;-&quot;??_);_(@_)"/>
    <numFmt numFmtId="168" formatCode="#,##0.00000_);\(#,##0.00000\)"/>
    <numFmt numFmtId="169" formatCode="_(* #,##0_);_(* \(#,##0\);_(* &quot;-&quot;??_);_(@_)"/>
    <numFmt numFmtId="170" formatCode="dddd&quot;, &quot;mmmm\ dd&quot;, &quot;yyyy"/>
    <numFmt numFmtId="171" formatCode="[$-409]mmm\-yy;@"/>
  </numFmts>
  <fonts count="3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Tahoma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1"/>
      <color theme="10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4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170" fontId="11" fillId="20" borderId="0" applyBorder="0" applyAlignment="0" applyProtection="0"/>
    <xf numFmtId="170" fontId="11" fillId="20" borderId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170" fontId="11" fillId="21" borderId="0" applyBorder="0" applyAlignment="0" applyProtection="0"/>
    <xf numFmtId="170" fontId="11" fillId="21" borderId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170" fontId="11" fillId="22" borderId="0" applyBorder="0" applyAlignment="0" applyProtection="0"/>
    <xf numFmtId="170" fontId="11" fillId="22" borderId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170" fontId="11" fillId="23" borderId="0" applyBorder="0" applyAlignment="0" applyProtection="0"/>
    <xf numFmtId="170" fontId="11" fillId="23" borderId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0" fontId="11" fillId="24" borderId="0" applyBorder="0" applyAlignment="0" applyProtection="0"/>
    <xf numFmtId="170" fontId="11" fillId="24" borderId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170" fontId="11" fillId="25" borderId="0" applyBorder="0" applyAlignment="0" applyProtection="0"/>
    <xf numFmtId="170" fontId="11" fillId="25" borderId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170" fontId="11" fillId="26" borderId="0" applyBorder="0" applyAlignment="0" applyProtection="0"/>
    <xf numFmtId="170" fontId="11" fillId="26" borderId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170" fontId="11" fillId="27" borderId="0" applyBorder="0" applyAlignment="0" applyProtection="0"/>
    <xf numFmtId="170" fontId="11" fillId="27" borderId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170" fontId="11" fillId="28" borderId="0" applyBorder="0" applyAlignment="0" applyProtection="0"/>
    <xf numFmtId="170" fontId="11" fillId="28" borderId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0" fontId="11" fillId="23" borderId="0" applyBorder="0" applyAlignment="0" applyProtection="0"/>
    <xf numFmtId="170" fontId="11" fillId="23" borderId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170" fontId="11" fillId="26" borderId="0" applyBorder="0" applyAlignment="0" applyProtection="0"/>
    <xf numFmtId="170" fontId="11" fillId="26" borderId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0" fontId="11" fillId="29" borderId="0" applyBorder="0" applyAlignment="0" applyProtection="0"/>
    <xf numFmtId="170" fontId="11" fillId="29" borderId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0" fontId="12" fillId="30" borderId="0" applyBorder="0" applyAlignment="0" applyProtection="0"/>
    <xf numFmtId="170" fontId="12" fillId="30" borderId="0" applyBorder="0" applyAlignment="0" applyProtection="0"/>
    <xf numFmtId="170" fontId="12" fillId="30" borderId="0" applyBorder="0" applyAlignment="0" applyProtection="0"/>
    <xf numFmtId="170" fontId="12" fillId="30" borderId="0" applyBorder="0" applyAlignment="0" applyProtection="0"/>
    <xf numFmtId="170" fontId="12" fillId="27" borderId="0" applyBorder="0" applyAlignment="0" applyProtection="0"/>
    <xf numFmtId="170" fontId="12" fillId="27" borderId="0" applyBorder="0" applyAlignment="0" applyProtection="0"/>
    <xf numFmtId="170" fontId="12" fillId="27" borderId="0" applyBorder="0" applyAlignment="0" applyProtection="0"/>
    <xf numFmtId="170" fontId="12" fillId="27" borderId="0" applyBorder="0" applyAlignment="0" applyProtection="0"/>
    <xf numFmtId="170" fontId="12" fillId="28" borderId="0" applyBorder="0" applyAlignment="0" applyProtection="0"/>
    <xf numFmtId="170" fontId="12" fillId="28" borderId="0" applyBorder="0" applyAlignment="0" applyProtection="0"/>
    <xf numFmtId="170" fontId="12" fillId="28" borderId="0" applyBorder="0" applyAlignment="0" applyProtection="0"/>
    <xf numFmtId="170" fontId="12" fillId="28" borderId="0" applyBorder="0" applyAlignment="0" applyProtection="0"/>
    <xf numFmtId="170" fontId="12" fillId="31" borderId="0" applyBorder="0" applyAlignment="0" applyProtection="0"/>
    <xf numFmtId="170" fontId="12" fillId="31" borderId="0" applyBorder="0" applyAlignment="0" applyProtection="0"/>
    <xf numFmtId="170" fontId="12" fillId="31" borderId="0" applyBorder="0" applyAlignment="0" applyProtection="0"/>
    <xf numFmtId="170" fontId="12" fillId="31" borderId="0" applyBorder="0" applyAlignment="0" applyProtection="0"/>
    <xf numFmtId="170" fontId="12" fillId="32" borderId="0" applyBorder="0" applyAlignment="0" applyProtection="0"/>
    <xf numFmtId="170" fontId="12" fillId="32" borderId="0" applyBorder="0" applyAlignment="0" applyProtection="0"/>
    <xf numFmtId="170" fontId="12" fillId="32" borderId="0" applyBorder="0" applyAlignment="0" applyProtection="0"/>
    <xf numFmtId="170" fontId="12" fillId="32" borderId="0" applyBorder="0" applyAlignment="0" applyProtection="0"/>
    <xf numFmtId="170" fontId="12" fillId="33" borderId="0" applyBorder="0" applyAlignment="0" applyProtection="0"/>
    <xf numFmtId="170" fontId="12" fillId="33" borderId="0" applyBorder="0" applyAlignment="0" applyProtection="0"/>
    <xf numFmtId="170" fontId="12" fillId="33" borderId="0" applyBorder="0" applyAlignment="0" applyProtection="0"/>
    <xf numFmtId="170" fontId="12" fillId="33" borderId="0" applyBorder="0" applyAlignment="0" applyProtection="0"/>
    <xf numFmtId="170" fontId="12" fillId="34" borderId="0" applyBorder="0" applyAlignment="0" applyProtection="0"/>
    <xf numFmtId="170" fontId="12" fillId="34" borderId="0" applyBorder="0" applyAlignment="0" applyProtection="0"/>
    <xf numFmtId="170" fontId="12" fillId="34" borderId="0" applyBorder="0" applyAlignment="0" applyProtection="0"/>
    <xf numFmtId="170" fontId="12" fillId="34" borderId="0" applyBorder="0" applyAlignment="0" applyProtection="0"/>
    <xf numFmtId="170" fontId="12" fillId="35" borderId="0" applyBorder="0" applyAlignment="0" applyProtection="0"/>
    <xf numFmtId="170" fontId="12" fillId="35" borderId="0" applyBorder="0" applyAlignment="0" applyProtection="0"/>
    <xf numFmtId="170" fontId="12" fillId="35" borderId="0" applyBorder="0" applyAlignment="0" applyProtection="0"/>
    <xf numFmtId="170" fontId="12" fillId="35" borderId="0" applyBorder="0" applyAlignment="0" applyProtection="0"/>
    <xf numFmtId="170" fontId="12" fillId="36" borderId="0" applyBorder="0" applyAlignment="0" applyProtection="0"/>
    <xf numFmtId="170" fontId="12" fillId="36" borderId="0" applyBorder="0" applyAlignment="0" applyProtection="0"/>
    <xf numFmtId="170" fontId="12" fillId="36" borderId="0" applyBorder="0" applyAlignment="0" applyProtection="0"/>
    <xf numFmtId="170" fontId="12" fillId="36" borderId="0" applyBorder="0" applyAlignment="0" applyProtection="0"/>
    <xf numFmtId="170" fontId="12" fillId="31" borderId="0" applyBorder="0" applyAlignment="0" applyProtection="0"/>
    <xf numFmtId="170" fontId="12" fillId="31" borderId="0" applyBorder="0" applyAlignment="0" applyProtection="0"/>
    <xf numFmtId="170" fontId="12" fillId="31" borderId="0" applyBorder="0" applyAlignment="0" applyProtection="0"/>
    <xf numFmtId="170" fontId="12" fillId="31" borderId="0" applyBorder="0" applyAlignment="0" applyProtection="0"/>
    <xf numFmtId="170" fontId="12" fillId="32" borderId="0" applyBorder="0" applyAlignment="0" applyProtection="0"/>
    <xf numFmtId="170" fontId="12" fillId="32" borderId="0" applyBorder="0" applyAlignment="0" applyProtection="0"/>
    <xf numFmtId="170" fontId="12" fillId="32" borderId="0" applyBorder="0" applyAlignment="0" applyProtection="0"/>
    <xf numFmtId="170" fontId="12" fillId="32" borderId="0" applyBorder="0" applyAlignment="0" applyProtection="0"/>
    <xf numFmtId="170" fontId="12" fillId="37" borderId="0" applyBorder="0" applyAlignment="0" applyProtection="0"/>
    <xf numFmtId="170" fontId="12" fillId="37" borderId="0" applyBorder="0" applyAlignment="0" applyProtection="0"/>
    <xf numFmtId="170" fontId="12" fillId="37" borderId="0" applyBorder="0" applyAlignment="0" applyProtection="0"/>
    <xf numFmtId="170" fontId="12" fillId="37" borderId="0" applyBorder="0" applyAlignment="0" applyProtection="0"/>
    <xf numFmtId="170" fontId="13" fillId="21" borderId="0" applyBorder="0" applyAlignment="0" applyProtection="0"/>
    <xf numFmtId="170" fontId="13" fillId="21" borderId="0" applyBorder="0" applyAlignment="0" applyProtection="0"/>
    <xf numFmtId="170" fontId="13" fillId="21" borderId="0" applyBorder="0" applyAlignment="0" applyProtection="0"/>
    <xf numFmtId="170" fontId="13" fillId="21" borderId="0" applyBorder="0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4" fillId="38" borderId="15" applyAlignment="0" applyProtection="0"/>
    <xf numFmtId="170" fontId="15" fillId="39" borderId="16" applyAlignment="0" applyProtection="0"/>
    <xf numFmtId="170" fontId="15" fillId="39" borderId="16" applyAlignment="0" applyProtection="0"/>
    <xf numFmtId="170" fontId="15" fillId="39" borderId="16" applyAlignment="0" applyProtection="0"/>
    <xf numFmtId="170" fontId="15" fillId="39" borderId="16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43" fontId="17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170" fontId="19" fillId="0" borderId="0" applyFill="0" applyBorder="0" applyAlignment="0" applyProtection="0"/>
    <xf numFmtId="170" fontId="19" fillId="0" borderId="0" applyFill="0" applyBorder="0" applyAlignment="0" applyProtection="0"/>
    <xf numFmtId="170" fontId="19" fillId="0" borderId="0" applyFill="0" applyBorder="0" applyAlignment="0" applyProtection="0"/>
    <xf numFmtId="170" fontId="19" fillId="0" borderId="0" applyFill="0" applyBorder="0" applyAlignment="0" applyProtection="0"/>
    <xf numFmtId="170" fontId="20" fillId="22" borderId="0" applyBorder="0" applyAlignment="0" applyProtection="0"/>
    <xf numFmtId="170" fontId="20" fillId="22" borderId="0" applyBorder="0" applyAlignment="0" applyProtection="0"/>
    <xf numFmtId="170" fontId="20" fillId="22" borderId="0" applyBorder="0" applyAlignment="0" applyProtection="0"/>
    <xf numFmtId="170" fontId="20" fillId="22" borderId="0" applyBorder="0" applyAlignment="0" applyProtection="0"/>
    <xf numFmtId="170" fontId="21" fillId="0" borderId="17" applyFill="0" applyAlignment="0" applyProtection="0"/>
    <xf numFmtId="170" fontId="21" fillId="0" borderId="17" applyFill="0" applyAlignment="0" applyProtection="0"/>
    <xf numFmtId="170" fontId="21" fillId="0" borderId="17" applyFill="0" applyAlignment="0" applyProtection="0"/>
    <xf numFmtId="170" fontId="21" fillId="0" borderId="17" applyFill="0" applyAlignment="0" applyProtection="0"/>
    <xf numFmtId="170" fontId="22" fillId="0" borderId="18" applyFill="0" applyAlignment="0" applyProtection="0"/>
    <xf numFmtId="170" fontId="22" fillId="0" borderId="18" applyFill="0" applyAlignment="0" applyProtection="0"/>
    <xf numFmtId="170" fontId="22" fillId="0" borderId="18" applyFill="0" applyAlignment="0" applyProtection="0"/>
    <xf numFmtId="170" fontId="22" fillId="0" borderId="18" applyFill="0" applyAlignment="0" applyProtection="0"/>
    <xf numFmtId="170" fontId="23" fillId="0" borderId="19" applyFill="0" applyAlignment="0" applyProtection="0"/>
    <xf numFmtId="170" fontId="23" fillId="0" borderId="19" applyFill="0" applyAlignment="0" applyProtection="0"/>
    <xf numFmtId="170" fontId="23" fillId="0" borderId="19" applyFill="0" applyAlignment="0" applyProtection="0"/>
    <xf numFmtId="170" fontId="23" fillId="0" borderId="19" applyFill="0" applyAlignment="0" applyProtection="0"/>
    <xf numFmtId="170" fontId="23" fillId="0" borderId="0" applyFill="0" applyBorder="0" applyAlignment="0" applyProtection="0"/>
    <xf numFmtId="170" fontId="23" fillId="0" borderId="0" applyFill="0" applyBorder="0" applyAlignment="0" applyProtection="0"/>
    <xf numFmtId="170" fontId="23" fillId="0" borderId="0" applyFill="0" applyBorder="0" applyAlignment="0" applyProtection="0"/>
    <xf numFmtId="170" fontId="23" fillId="0" borderId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169" fontId="24" fillId="0" borderId="0" applyNumberFormat="0" applyFill="0" applyBorder="0" applyAlignment="0" applyProtection="0">
      <alignment vertical="top"/>
      <protection locked="0"/>
    </xf>
    <xf numFmtId="169" fontId="24" fillId="0" borderId="0" applyNumberFormat="0" applyFill="0" applyBorder="0" applyAlignment="0" applyProtection="0">
      <alignment vertical="top"/>
      <protection locked="0"/>
    </xf>
    <xf numFmtId="169" fontId="24" fillId="0" borderId="0" applyNumberFormat="0" applyFill="0" applyBorder="0" applyAlignment="0" applyProtection="0">
      <alignment vertical="top"/>
      <protection locked="0"/>
    </xf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6" fillId="25" borderId="15" applyAlignment="0" applyProtection="0"/>
    <xf numFmtId="170" fontId="27" fillId="0" borderId="20" applyFill="0" applyAlignment="0" applyProtection="0"/>
    <xf numFmtId="170" fontId="27" fillId="0" borderId="20" applyFill="0" applyAlignment="0" applyProtection="0"/>
    <xf numFmtId="170" fontId="27" fillId="0" borderId="20" applyFill="0" applyAlignment="0" applyProtection="0"/>
    <xf numFmtId="170" fontId="27" fillId="0" borderId="20" applyFill="0" applyAlignment="0" applyProtection="0"/>
    <xf numFmtId="170" fontId="28" fillId="40" borderId="0" applyBorder="0" applyAlignment="0" applyProtection="0"/>
    <xf numFmtId="170" fontId="28" fillId="40" borderId="0" applyBorder="0" applyAlignment="0" applyProtection="0"/>
    <xf numFmtId="170" fontId="28" fillId="40" borderId="0" applyBorder="0" applyAlignment="0" applyProtection="0"/>
    <xf numFmtId="170" fontId="28" fillId="40" borderId="0" applyBorder="0" applyAlignment="0" applyProtection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169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1" fontId="17" fillId="0" borderId="0">
      <alignment vertical="top"/>
    </xf>
    <xf numFmtId="171" fontId="17" fillId="0" borderId="0">
      <alignment vertical="top"/>
    </xf>
    <xf numFmtId="171" fontId="17" fillId="0" borderId="0">
      <alignment vertical="top"/>
    </xf>
    <xf numFmtId="171" fontId="17" fillId="0" borderId="0">
      <alignment vertical="top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9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170" fontId="16" fillId="41" borderId="21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170" fontId="29" fillId="38" borderId="22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70" fontId="30" fillId="0" borderId="0" applyFill="0" applyBorder="0" applyAlignment="0" applyProtection="0"/>
    <xf numFmtId="170" fontId="30" fillId="0" borderId="0" applyFill="0" applyBorder="0" applyAlignment="0" applyProtection="0"/>
    <xf numFmtId="170" fontId="30" fillId="0" borderId="0" applyFill="0" applyBorder="0" applyAlignment="0" applyProtection="0"/>
    <xf numFmtId="170" fontId="30" fillId="0" borderId="0" applyFill="0" applyBorder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1" fillId="0" borderId="23" applyFill="0" applyAlignment="0" applyProtection="0"/>
    <xf numFmtId="170" fontId="32" fillId="0" borderId="0" applyFill="0" applyBorder="0" applyAlignment="0" applyProtection="0"/>
    <xf numFmtId="170" fontId="32" fillId="0" borderId="0" applyFill="0" applyBorder="0" applyAlignment="0" applyProtection="0"/>
    <xf numFmtId="170" fontId="32" fillId="0" borderId="0" applyFill="0" applyBorder="0" applyAlignment="0" applyProtection="0"/>
    <xf numFmtId="170" fontId="32" fillId="0" borderId="0" applyFill="0" applyBorder="0" applyAlignment="0" applyProtection="0"/>
  </cellStyleXfs>
  <cellXfs count="161">
    <xf numFmtId="0" fontId="0" fillId="0" borderId="0" xfId="0"/>
    <xf numFmtId="0" fontId="4" fillId="0" borderId="0" xfId="0" applyFont="1"/>
    <xf numFmtId="0" fontId="0" fillId="0" borderId="0" xfId="0" applyAlignment="1">
      <alignment horizontal="left"/>
    </xf>
    <xf numFmtId="43" fontId="0" fillId="0" borderId="0" xfId="1" applyFont="1"/>
    <xf numFmtId="0" fontId="0" fillId="0" borderId="0" xfId="0" quotePrefix="1"/>
    <xf numFmtId="43" fontId="2" fillId="15" borderId="2" xfId="1" applyFont="1" applyFill="1" applyBorder="1" applyAlignment="1">
      <alignment horizontal="centerContinuous"/>
    </xf>
    <xf numFmtId="43" fontId="2" fillId="15" borderId="3" xfId="1" applyFont="1" applyFill="1" applyBorder="1" applyAlignment="1">
      <alignment horizontal="centerContinuous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5" fillId="16" borderId="2" xfId="0" applyFont="1" applyFill="1" applyBorder="1" applyAlignment="1">
      <alignment horizontal="centerContinuous" wrapText="1"/>
    </xf>
    <xf numFmtId="0" fontId="5" fillId="16" borderId="7" xfId="0" applyFont="1" applyFill="1" applyBorder="1" applyAlignment="1">
      <alignment horizontal="centerContinuous" wrapText="1"/>
    </xf>
    <xf numFmtId="0" fontId="5" fillId="16" borderId="3" xfId="0" applyFont="1" applyFill="1" applyBorder="1" applyAlignment="1">
      <alignment horizontal="centerContinuous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left" vertical="center" wrapText="1"/>
    </xf>
    <xf numFmtId="0" fontId="5" fillId="16" borderId="11" xfId="0" applyFont="1" applyFill="1" applyBorder="1" applyAlignment="1">
      <alignment horizontal="center"/>
    </xf>
    <xf numFmtId="0" fontId="4" fillId="0" borderId="4" xfId="0" applyFont="1" applyBorder="1"/>
    <xf numFmtId="0" fontId="0" fillId="0" borderId="6" xfId="0" applyBorder="1"/>
    <xf numFmtId="0" fontId="0" fillId="0" borderId="5" xfId="0" applyBorder="1" applyAlignment="1">
      <alignment horizontal="left"/>
    </xf>
    <xf numFmtId="37" fontId="0" fillId="0" borderId="4" xfId="0" applyNumberFormat="1" applyFill="1" applyBorder="1"/>
    <xf numFmtId="39" fontId="0" fillId="0" borderId="5" xfId="0" applyNumberFormat="1" applyFill="1" applyBorder="1"/>
    <xf numFmtId="39" fontId="0" fillId="0" borderId="6" xfId="0" applyNumberFormat="1" applyFill="1" applyBorder="1"/>
    <xf numFmtId="0" fontId="4" fillId="0" borderId="12" xfId="0" applyFont="1" applyBorder="1"/>
    <xf numFmtId="0" fontId="6" fillId="0" borderId="13" xfId="0" applyFont="1" applyFill="1" applyBorder="1" applyAlignment="1">
      <alignment horizontal="right"/>
    </xf>
    <xf numFmtId="0" fontId="6" fillId="0" borderId="14" xfId="0" applyFont="1" applyFill="1" applyBorder="1" applyAlignment="1">
      <alignment horizontal="left"/>
    </xf>
    <xf numFmtId="37" fontId="0" fillId="0" borderId="13" xfId="1" applyNumberFormat="1" applyFont="1" applyFill="1" applyBorder="1"/>
    <xf numFmtId="39" fontId="0" fillId="0" borderId="14" xfId="0" applyNumberFormat="1" applyFill="1" applyBorder="1"/>
    <xf numFmtId="39" fontId="0" fillId="0" borderId="0" xfId="0" applyNumberFormat="1" applyFill="1" applyBorder="1"/>
    <xf numFmtId="0" fontId="0" fillId="0" borderId="13" xfId="0" applyBorder="1" applyAlignment="1">
      <alignment horizontal="left" indent="1"/>
    </xf>
    <xf numFmtId="0" fontId="0" fillId="0" borderId="14" xfId="0" applyBorder="1"/>
    <xf numFmtId="0" fontId="0" fillId="0" borderId="0" xfId="0" applyBorder="1"/>
    <xf numFmtId="0" fontId="0" fillId="0" borderId="0" xfId="0" applyBorder="1" applyAlignment="1">
      <alignment horizontal="left"/>
    </xf>
    <xf numFmtId="37" fontId="0" fillId="0" borderId="14" xfId="0" applyNumberFormat="1" applyFill="1" applyBorder="1"/>
    <xf numFmtId="37" fontId="0" fillId="0" borderId="0" xfId="0" applyNumberFormat="1" applyFill="1" applyBorder="1"/>
    <xf numFmtId="0" fontId="6" fillId="0" borderId="14" xfId="0" applyFont="1" applyFill="1" applyBorder="1" applyAlignment="1">
      <alignment horizontal="right"/>
    </xf>
    <xf numFmtId="43" fontId="0" fillId="0" borderId="13" xfId="1" applyFont="1" applyFill="1" applyBorder="1"/>
    <xf numFmtId="0" fontId="3" fillId="0" borderId="0" xfId="0" applyFont="1" applyFill="1" applyBorder="1"/>
    <xf numFmtId="0" fontId="3" fillId="0" borderId="0" xfId="0" applyFont="1" applyBorder="1" applyAlignment="1">
      <alignment horizontal="left"/>
    </xf>
    <xf numFmtId="164" fontId="0" fillId="0" borderId="14" xfId="0" applyNumberFormat="1" applyFill="1" applyBorder="1"/>
    <xf numFmtId="164" fontId="0" fillId="0" borderId="0" xfId="0" applyNumberFormat="1" applyFill="1" applyBorder="1"/>
    <xf numFmtId="165" fontId="0" fillId="0" borderId="14" xfId="2" applyNumberFormat="1" applyFont="1" applyFill="1" applyBorder="1"/>
    <xf numFmtId="9" fontId="0" fillId="0" borderId="14" xfId="2" applyFont="1" applyFill="1" applyBorder="1"/>
    <xf numFmtId="9" fontId="0" fillId="0" borderId="0" xfId="2" applyFont="1" applyFill="1" applyBorder="1"/>
    <xf numFmtId="0" fontId="7" fillId="0" borderId="0" xfId="0" applyFont="1" applyBorder="1"/>
    <xf numFmtId="0" fontId="0" fillId="0" borderId="13" xfId="0" applyFont="1" applyBorder="1" applyAlignment="1">
      <alignment horizontal="left" indent="1"/>
    </xf>
    <xf numFmtId="0" fontId="0" fillId="0" borderId="6" xfId="0" applyBorder="1" applyAlignment="1">
      <alignment horizontal="left"/>
    </xf>
    <xf numFmtId="37" fontId="0" fillId="0" borderId="13" xfId="0" applyNumberFormat="1" applyFill="1" applyBorder="1"/>
    <xf numFmtId="0" fontId="0" fillId="0" borderId="12" xfId="0" applyBorder="1" applyAlignment="1">
      <alignment horizontal="left" indent="1"/>
    </xf>
    <xf numFmtId="39" fontId="0" fillId="0" borderId="13" xfId="0" applyNumberFormat="1" applyFill="1" applyBorder="1"/>
    <xf numFmtId="0" fontId="4" fillId="0" borderId="13" xfId="0" applyFont="1" applyBorder="1" applyAlignment="1">
      <alignment horizontal="left" indent="1"/>
    </xf>
    <xf numFmtId="0" fontId="4" fillId="0" borderId="0" xfId="0" applyFont="1" applyBorder="1"/>
    <xf numFmtId="37" fontId="4" fillId="0" borderId="13" xfId="0" applyNumberFormat="1" applyFont="1" applyFill="1" applyBorder="1"/>
    <xf numFmtId="39" fontId="4" fillId="0" borderId="14" xfId="0" applyNumberFormat="1" applyFont="1" applyFill="1" applyBorder="1"/>
    <xf numFmtId="39" fontId="4" fillId="0" borderId="13" xfId="0" applyNumberFormat="1" applyFont="1" applyFill="1" applyBorder="1"/>
    <xf numFmtId="43" fontId="0" fillId="0" borderId="14" xfId="1" applyFont="1" applyFill="1" applyBorder="1"/>
    <xf numFmtId="166" fontId="0" fillId="0" borderId="13" xfId="0" applyNumberFormat="1" applyFill="1" applyBorder="1"/>
    <xf numFmtId="166" fontId="0" fillId="0" borderId="14" xfId="0" applyNumberFormat="1" applyFill="1" applyBorder="1"/>
    <xf numFmtId="43" fontId="4" fillId="0" borderId="13" xfId="1" applyFont="1" applyFill="1" applyBorder="1"/>
    <xf numFmtId="167" fontId="0" fillId="0" borderId="13" xfId="1" applyNumberFormat="1" applyFont="1" applyFill="1" applyBorder="1"/>
    <xf numFmtId="168" fontId="4" fillId="0" borderId="13" xfId="0" applyNumberFormat="1" applyFont="1" applyFill="1" applyBorder="1"/>
    <xf numFmtId="168" fontId="4" fillId="0" borderId="14" xfId="0" applyNumberFormat="1" applyFont="1" applyFill="1" applyBorder="1"/>
    <xf numFmtId="37" fontId="0" fillId="0" borderId="13" xfId="0" applyNumberFormat="1" applyFont="1" applyFill="1" applyBorder="1"/>
    <xf numFmtId="39" fontId="0" fillId="0" borderId="14" xfId="0" applyNumberFormat="1" applyFont="1" applyFill="1" applyBorder="1"/>
    <xf numFmtId="0" fontId="4" fillId="0" borderId="0" xfId="0" applyFont="1" applyBorder="1" applyAlignment="1">
      <alignment horizontal="left"/>
    </xf>
    <xf numFmtId="43" fontId="3" fillId="0" borderId="14" xfId="1" applyFont="1" applyFill="1" applyBorder="1"/>
    <xf numFmtId="37" fontId="4" fillId="0" borderId="13" xfId="0" applyNumberFormat="1" applyFont="1" applyBorder="1"/>
    <xf numFmtId="39" fontId="4" fillId="0" borderId="14" xfId="0" applyNumberFormat="1" applyFont="1" applyBorder="1"/>
    <xf numFmtId="0" fontId="7" fillId="0" borderId="0" xfId="0" applyFont="1" applyBorder="1" applyAlignment="1">
      <alignment horizontal="left"/>
    </xf>
    <xf numFmtId="37" fontId="0" fillId="0" borderId="13" xfId="0" applyNumberFormat="1" applyBorder="1"/>
    <xf numFmtId="39" fontId="0" fillId="0" borderId="14" xfId="0" applyNumberFormat="1" applyBorder="1"/>
    <xf numFmtId="0" fontId="0" fillId="0" borderId="8" xfId="0" applyFont="1" applyBorder="1" applyAlignment="1">
      <alignment horizontal="left" indent="1"/>
    </xf>
    <xf numFmtId="0" fontId="0" fillId="0" borderId="10" xfId="0" applyBorder="1"/>
    <xf numFmtId="0" fontId="0" fillId="0" borderId="10" xfId="0" applyBorder="1" applyAlignment="1">
      <alignment horizontal="left"/>
    </xf>
    <xf numFmtId="37" fontId="0" fillId="0" borderId="8" xfId="0" applyNumberFormat="1" applyBorder="1"/>
    <xf numFmtId="39" fontId="0" fillId="0" borderId="9" xfId="0" applyNumberFormat="1" applyBorder="1"/>
    <xf numFmtId="0" fontId="4" fillId="0" borderId="13" xfId="0" applyFont="1" applyBorder="1"/>
    <xf numFmtId="166" fontId="0" fillId="0" borderId="13" xfId="0" applyNumberFormat="1" applyBorder="1"/>
    <xf numFmtId="0" fontId="4" fillId="17" borderId="13" xfId="0" applyFont="1" applyFill="1" applyBorder="1"/>
    <xf numFmtId="0" fontId="0" fillId="17" borderId="0" xfId="0" applyFill="1" applyBorder="1"/>
    <xf numFmtId="0" fontId="0" fillId="17" borderId="0" xfId="0" applyFill="1" applyBorder="1" applyAlignment="1">
      <alignment horizontal="left"/>
    </xf>
    <xf numFmtId="37" fontId="0" fillId="17" borderId="13" xfId="0" applyNumberFormat="1" applyFill="1" applyBorder="1"/>
    <xf numFmtId="39" fontId="0" fillId="17" borderId="14" xfId="0" applyNumberFormat="1" applyFill="1" applyBorder="1"/>
    <xf numFmtId="168" fontId="0" fillId="0" borderId="14" xfId="0" applyNumberFormat="1" applyBorder="1"/>
    <xf numFmtId="166" fontId="0" fillId="0" borderId="14" xfId="0" applyNumberFormat="1" applyBorder="1"/>
    <xf numFmtId="0" fontId="4" fillId="18" borderId="13" xfId="0" applyFont="1" applyFill="1" applyBorder="1"/>
    <xf numFmtId="0" fontId="4" fillId="18" borderId="0" xfId="0" applyFont="1" applyFill="1" applyBorder="1"/>
    <xf numFmtId="0" fontId="4" fillId="18" borderId="0" xfId="0" applyFont="1" applyFill="1" applyBorder="1" applyAlignment="1">
      <alignment horizontal="left"/>
    </xf>
    <xf numFmtId="37" fontId="0" fillId="18" borderId="13" xfId="0" applyNumberFormat="1" applyFill="1" applyBorder="1"/>
    <xf numFmtId="39" fontId="0" fillId="18" borderId="14" xfId="0" applyNumberFormat="1" applyFill="1" applyBorder="1"/>
    <xf numFmtId="0" fontId="4" fillId="0" borderId="13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left"/>
    </xf>
    <xf numFmtId="167" fontId="0" fillId="0" borderId="14" xfId="1" applyNumberFormat="1" applyFont="1" applyBorder="1"/>
    <xf numFmtId="0" fontId="0" fillId="0" borderId="0" xfId="0" applyFill="1" applyBorder="1"/>
    <xf numFmtId="0" fontId="0" fillId="0" borderId="0" xfId="0" applyFill="1" applyBorder="1" applyAlignment="1">
      <alignment horizontal="left" indent="1"/>
    </xf>
    <xf numFmtId="0" fontId="7" fillId="0" borderId="0" xfId="0" applyFont="1" applyFill="1" applyBorder="1" applyAlignment="1">
      <alignment horizontal="left" indent="1"/>
    </xf>
    <xf numFmtId="0" fontId="7" fillId="0" borderId="0" xfId="0" applyFont="1" applyFill="1" applyBorder="1"/>
    <xf numFmtId="0" fontId="0" fillId="0" borderId="0" xfId="0" applyFill="1" applyBorder="1" applyAlignment="1">
      <alignment horizontal="left"/>
    </xf>
    <xf numFmtId="0" fontId="4" fillId="19" borderId="13" xfId="0" applyFont="1" applyFill="1" applyBorder="1"/>
    <xf numFmtId="0" fontId="4" fillId="19" borderId="0" xfId="0" applyFont="1" applyFill="1" applyBorder="1"/>
    <xf numFmtId="0" fontId="4" fillId="19" borderId="0" xfId="0" applyFont="1" applyFill="1" applyBorder="1" applyAlignment="1">
      <alignment horizontal="left"/>
    </xf>
    <xf numFmtId="37" fontId="0" fillId="19" borderId="13" xfId="0" applyNumberFormat="1" applyFill="1" applyBorder="1"/>
    <xf numFmtId="39" fontId="0" fillId="19" borderId="14" xfId="0" applyNumberFormat="1" applyFill="1" applyBorder="1"/>
    <xf numFmtId="0" fontId="0" fillId="0" borderId="0" xfId="0" applyBorder="1" applyAlignment="1">
      <alignment horizontal="left" indent="1"/>
    </xf>
    <xf numFmtId="169" fontId="0" fillId="0" borderId="13" xfId="1" applyNumberFormat="1" applyFont="1" applyFill="1" applyBorder="1"/>
    <xf numFmtId="0" fontId="8" fillId="17" borderId="13" xfId="0" applyFont="1" applyFill="1" applyBorder="1"/>
    <xf numFmtId="0" fontId="7" fillId="17" borderId="0" xfId="0" applyFont="1" applyFill="1" applyBorder="1"/>
    <xf numFmtId="0" fontId="7" fillId="17" borderId="0" xfId="0" applyFont="1" applyFill="1" applyBorder="1" applyAlignment="1">
      <alignment horizontal="left"/>
    </xf>
    <xf numFmtId="37" fontId="7" fillId="17" borderId="13" xfId="0" applyNumberFormat="1" applyFont="1" applyFill="1" applyBorder="1"/>
    <xf numFmtId="39" fontId="7" fillId="17" borderId="14" xfId="0" applyNumberFormat="1" applyFont="1" applyFill="1" applyBorder="1"/>
    <xf numFmtId="43" fontId="0" fillId="0" borderId="14" xfId="1" applyFont="1" applyBorder="1"/>
    <xf numFmtId="43" fontId="0" fillId="0" borderId="14" xfId="1" applyNumberFormat="1" applyFont="1" applyBorder="1"/>
    <xf numFmtId="169" fontId="0" fillId="0" borderId="14" xfId="1" applyNumberFormat="1" applyFont="1" applyBorder="1"/>
    <xf numFmtId="0" fontId="4" fillId="17" borderId="0" xfId="0" applyFont="1" applyFill="1" applyBorder="1"/>
    <xf numFmtId="0" fontId="4" fillId="17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0" xfId="0" applyFill="1"/>
    <xf numFmtId="0" fontId="4" fillId="17" borderId="8" xfId="0" applyFont="1" applyFill="1" applyBorder="1"/>
    <xf numFmtId="0" fontId="4" fillId="17" borderId="10" xfId="0" applyFont="1" applyFill="1" applyBorder="1"/>
    <xf numFmtId="0" fontId="4" fillId="17" borderId="10" xfId="0" applyFont="1" applyFill="1" applyBorder="1" applyAlignment="1">
      <alignment horizontal="left"/>
    </xf>
    <xf numFmtId="37" fontId="0" fillId="17" borderId="8" xfId="0" applyNumberFormat="1" applyFill="1" applyBorder="1"/>
    <xf numFmtId="39" fontId="0" fillId="17" borderId="9" xfId="0" applyNumberFormat="1" applyFill="1" applyBorder="1"/>
    <xf numFmtId="169" fontId="0" fillId="0" borderId="0" xfId="1" applyNumberFormat="1" applyFont="1"/>
    <xf numFmtId="37" fontId="0" fillId="0" borderId="4" xfId="0" applyNumberFormat="1" applyBorder="1"/>
    <xf numFmtId="39" fontId="0" fillId="0" borderId="5" xfId="0" applyNumberFormat="1" applyBorder="1"/>
    <xf numFmtId="0" fontId="4" fillId="0" borderId="8" xfId="0" applyFont="1" applyFill="1" applyBorder="1"/>
    <xf numFmtId="0" fontId="4" fillId="0" borderId="10" xfId="0" applyFont="1" applyFill="1" applyBorder="1"/>
    <xf numFmtId="0" fontId="4" fillId="0" borderId="10" xfId="0" applyFont="1" applyFill="1" applyBorder="1" applyAlignment="1">
      <alignment horizontal="left"/>
    </xf>
    <xf numFmtId="37" fontId="0" fillId="0" borderId="8" xfId="0" applyNumberFormat="1" applyFill="1" applyBorder="1"/>
    <xf numFmtId="39" fontId="0" fillId="0" borderId="9" xfId="0" applyNumberFormat="1" applyFill="1" applyBorder="1"/>
    <xf numFmtId="0" fontId="8" fillId="0" borderId="13" xfId="0" applyFont="1" applyFill="1" applyBorder="1"/>
    <xf numFmtId="0" fontId="0" fillId="0" borderId="13" xfId="0" applyFill="1" applyBorder="1" applyAlignment="1">
      <alignment horizontal="left" indent="2"/>
    </xf>
    <xf numFmtId="0" fontId="0" fillId="0" borderId="14" xfId="0" applyFill="1" applyBorder="1"/>
    <xf numFmtId="0" fontId="0" fillId="0" borderId="13" xfId="0" applyFill="1" applyBorder="1" applyAlignment="1">
      <alignment horizontal="left" indent="5"/>
    </xf>
    <xf numFmtId="0" fontId="0" fillId="0" borderId="14" xfId="0" applyFill="1" applyBorder="1" applyAlignment="1">
      <alignment horizontal="left" indent="1"/>
    </xf>
    <xf numFmtId="0" fontId="0" fillId="0" borderId="13" xfId="0" applyFont="1" applyFill="1" applyBorder="1" applyAlignment="1">
      <alignment horizontal="left" indent="3"/>
    </xf>
    <xf numFmtId="0" fontId="8" fillId="0" borderId="13" xfId="0" applyFont="1" applyFill="1" applyBorder="1" applyAlignment="1">
      <alignment horizontal="left" indent="2"/>
    </xf>
    <xf numFmtId="0" fontId="0" fillId="0" borderId="13" xfId="0" applyFont="1" applyBorder="1" applyAlignment="1">
      <alignment horizontal="left" indent="3"/>
    </xf>
    <xf numFmtId="0" fontId="0" fillId="0" borderId="14" xfId="0" applyBorder="1" applyAlignment="1">
      <alignment horizontal="left" indent="1"/>
    </xf>
    <xf numFmtId="37" fontId="0" fillId="0" borderId="13" xfId="1" applyNumberFormat="1" applyFont="1" applyBorder="1"/>
    <xf numFmtId="164" fontId="0" fillId="0" borderId="14" xfId="0" applyNumberFormat="1" applyBorder="1"/>
    <xf numFmtId="0" fontId="0" fillId="0" borderId="13" xfId="0" applyBorder="1" applyAlignment="1">
      <alignment horizontal="left" indent="2"/>
    </xf>
    <xf numFmtId="0" fontId="4" fillId="0" borderId="13" xfId="0" applyFont="1" applyBorder="1" applyAlignment="1">
      <alignment horizontal="left" indent="2"/>
    </xf>
    <xf numFmtId="0" fontId="4" fillId="0" borderId="14" xfId="0" applyFont="1" applyBorder="1"/>
    <xf numFmtId="37" fontId="4" fillId="0" borderId="13" xfId="1" applyNumberFormat="1" applyFont="1" applyBorder="1"/>
    <xf numFmtId="164" fontId="4" fillId="0" borderId="14" xfId="0" applyNumberFormat="1" applyFont="1" applyBorder="1"/>
    <xf numFmtId="164" fontId="0" fillId="17" borderId="14" xfId="0" applyNumberFormat="1" applyFill="1" applyBorder="1"/>
    <xf numFmtId="0" fontId="0" fillId="0" borderId="13" xfId="0" applyFont="1" applyFill="1" applyBorder="1" applyAlignment="1">
      <alignment horizontal="left" indent="1"/>
    </xf>
    <xf numFmtId="164" fontId="0" fillId="0" borderId="9" xfId="0" applyNumberFormat="1" applyFill="1" applyBorder="1"/>
    <xf numFmtId="164" fontId="0" fillId="0" borderId="0" xfId="0" applyNumberFormat="1"/>
    <xf numFmtId="0" fontId="4" fillId="0" borderId="0" xfId="0" applyFont="1" applyAlignment="1">
      <alignment horizontal="left"/>
    </xf>
    <xf numFmtId="166" fontId="0" fillId="0" borderId="0" xfId="0" applyNumberFormat="1"/>
    <xf numFmtId="166" fontId="0" fillId="0" borderId="0" xfId="1" applyNumberFormat="1" applyFont="1"/>
    <xf numFmtId="0" fontId="4" fillId="0" borderId="0" xfId="0" applyFont="1" applyFill="1"/>
    <xf numFmtId="0" fontId="0" fillId="42" borderId="0" xfId="0" applyFill="1" applyAlignment="1">
      <alignment wrapText="1"/>
    </xf>
    <xf numFmtId="0" fontId="0" fillId="4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516">
    <cellStyle name="20% - Accent1 10" xfId="3"/>
    <cellStyle name="20% - Accent1 11" xfId="4"/>
    <cellStyle name="20% - Accent1 12" xfId="5"/>
    <cellStyle name="20% - Accent1 13" xfId="6"/>
    <cellStyle name="20% - Accent1 14" xfId="7"/>
    <cellStyle name="20% - Accent1 2" xfId="8"/>
    <cellStyle name="20% - Accent1 2 2" xfId="9"/>
    <cellStyle name="20% - Accent1 2 3" xfId="10"/>
    <cellStyle name="20% - Accent1 3" xfId="11"/>
    <cellStyle name="20% - Accent1 4" xfId="12"/>
    <cellStyle name="20% - Accent1 5" xfId="13"/>
    <cellStyle name="20% - Accent1 6" xfId="14"/>
    <cellStyle name="20% - Accent1 7" xfId="15"/>
    <cellStyle name="20% - Accent1 8" xfId="16"/>
    <cellStyle name="20% - Accent1 9" xfId="17"/>
    <cellStyle name="20% - Accent2 10" xfId="18"/>
    <cellStyle name="20% - Accent2 11" xfId="19"/>
    <cellStyle name="20% - Accent2 12" xfId="20"/>
    <cellStyle name="20% - Accent2 13" xfId="21"/>
    <cellStyle name="20% - Accent2 14" xfId="22"/>
    <cellStyle name="20% - Accent2 2" xfId="23"/>
    <cellStyle name="20% - Accent2 2 2" xfId="24"/>
    <cellStyle name="20% - Accent2 2 3" xfId="25"/>
    <cellStyle name="20% - Accent2 3" xfId="26"/>
    <cellStyle name="20% - Accent2 4" xfId="27"/>
    <cellStyle name="20% - Accent2 5" xfId="28"/>
    <cellStyle name="20% - Accent2 6" xfId="29"/>
    <cellStyle name="20% - Accent2 7" xfId="30"/>
    <cellStyle name="20% - Accent2 8" xfId="31"/>
    <cellStyle name="20% - Accent2 9" xfId="32"/>
    <cellStyle name="20% - Accent3 10" xfId="33"/>
    <cellStyle name="20% - Accent3 11" xfId="34"/>
    <cellStyle name="20% - Accent3 12" xfId="35"/>
    <cellStyle name="20% - Accent3 13" xfId="36"/>
    <cellStyle name="20% - Accent3 14" xfId="37"/>
    <cellStyle name="20% - Accent3 2" xfId="38"/>
    <cellStyle name="20% - Accent3 2 2" xfId="39"/>
    <cellStyle name="20% - Accent3 2 3" xfId="40"/>
    <cellStyle name="20% - Accent3 3" xfId="41"/>
    <cellStyle name="20% - Accent3 4" xfId="42"/>
    <cellStyle name="20% - Accent3 5" xfId="43"/>
    <cellStyle name="20% - Accent3 6" xfId="44"/>
    <cellStyle name="20% - Accent3 7" xfId="45"/>
    <cellStyle name="20% - Accent3 8" xfId="46"/>
    <cellStyle name="20% - Accent3 9" xfId="47"/>
    <cellStyle name="20% - Accent4 10" xfId="48"/>
    <cellStyle name="20% - Accent4 11" xfId="49"/>
    <cellStyle name="20% - Accent4 12" xfId="50"/>
    <cellStyle name="20% - Accent4 13" xfId="51"/>
    <cellStyle name="20% - Accent4 14" xfId="52"/>
    <cellStyle name="20% - Accent4 2" xfId="53"/>
    <cellStyle name="20% - Accent4 2 2" xfId="54"/>
    <cellStyle name="20% - Accent4 2 3" xfId="55"/>
    <cellStyle name="20% - Accent4 3" xfId="56"/>
    <cellStyle name="20% - Accent4 4" xfId="57"/>
    <cellStyle name="20% - Accent4 5" xfId="58"/>
    <cellStyle name="20% - Accent4 6" xfId="59"/>
    <cellStyle name="20% - Accent4 7" xfId="60"/>
    <cellStyle name="20% - Accent4 8" xfId="61"/>
    <cellStyle name="20% - Accent4 9" xfId="62"/>
    <cellStyle name="20% - Accent5 10" xfId="63"/>
    <cellStyle name="20% - Accent5 11" xfId="64"/>
    <cellStyle name="20% - Accent5 12" xfId="65"/>
    <cellStyle name="20% - Accent5 13" xfId="66"/>
    <cellStyle name="20% - Accent5 14" xfId="67"/>
    <cellStyle name="20% - Accent5 2" xfId="68"/>
    <cellStyle name="20% - Accent5 2 2" xfId="69"/>
    <cellStyle name="20% - Accent5 2 3" xfId="70"/>
    <cellStyle name="20% - Accent5 3" xfId="71"/>
    <cellStyle name="20% - Accent5 4" xfId="72"/>
    <cellStyle name="20% - Accent5 5" xfId="73"/>
    <cellStyle name="20% - Accent5 6" xfId="74"/>
    <cellStyle name="20% - Accent5 7" xfId="75"/>
    <cellStyle name="20% - Accent5 8" xfId="76"/>
    <cellStyle name="20% - Accent5 9" xfId="77"/>
    <cellStyle name="20% - Accent6 10" xfId="78"/>
    <cellStyle name="20% - Accent6 11" xfId="79"/>
    <cellStyle name="20% - Accent6 12" xfId="80"/>
    <cellStyle name="20% - Accent6 13" xfId="81"/>
    <cellStyle name="20% - Accent6 14" xfId="82"/>
    <cellStyle name="20% - Accent6 2" xfId="83"/>
    <cellStyle name="20% - Accent6 2 2" xfId="84"/>
    <cellStyle name="20% - Accent6 2 3" xfId="85"/>
    <cellStyle name="20% - Accent6 3" xfId="86"/>
    <cellStyle name="20% - Accent6 4" xfId="87"/>
    <cellStyle name="20% - Accent6 5" xfId="88"/>
    <cellStyle name="20% - Accent6 6" xfId="89"/>
    <cellStyle name="20% - Accent6 7" xfId="90"/>
    <cellStyle name="20% - Accent6 8" xfId="91"/>
    <cellStyle name="20% - Accent6 9" xfId="92"/>
    <cellStyle name="40% - Accent1 10" xfId="93"/>
    <cellStyle name="40% - Accent1 11" xfId="94"/>
    <cellStyle name="40% - Accent1 12" xfId="95"/>
    <cellStyle name="40% - Accent1 13" xfId="96"/>
    <cellStyle name="40% - Accent1 14" xfId="97"/>
    <cellStyle name="40% - Accent1 2" xfId="98"/>
    <cellStyle name="40% - Accent1 2 2" xfId="99"/>
    <cellStyle name="40% - Accent1 2 3" xfId="100"/>
    <cellStyle name="40% - Accent1 3" xfId="101"/>
    <cellStyle name="40% - Accent1 4" xfId="102"/>
    <cellStyle name="40% - Accent1 5" xfId="103"/>
    <cellStyle name="40% - Accent1 6" xfId="104"/>
    <cellStyle name="40% - Accent1 7" xfId="105"/>
    <cellStyle name="40% - Accent1 8" xfId="106"/>
    <cellStyle name="40% - Accent1 9" xfId="107"/>
    <cellStyle name="40% - Accent2 10" xfId="108"/>
    <cellStyle name="40% - Accent2 11" xfId="109"/>
    <cellStyle name="40% - Accent2 12" xfId="110"/>
    <cellStyle name="40% - Accent2 13" xfId="111"/>
    <cellStyle name="40% - Accent2 14" xfId="112"/>
    <cellStyle name="40% - Accent2 2" xfId="113"/>
    <cellStyle name="40% - Accent2 2 2" xfId="114"/>
    <cellStyle name="40% - Accent2 2 3" xfId="115"/>
    <cellStyle name="40% - Accent2 3" xfId="116"/>
    <cellStyle name="40% - Accent2 4" xfId="117"/>
    <cellStyle name="40% - Accent2 5" xfId="118"/>
    <cellStyle name="40% - Accent2 6" xfId="119"/>
    <cellStyle name="40% - Accent2 7" xfId="120"/>
    <cellStyle name="40% - Accent2 8" xfId="121"/>
    <cellStyle name="40% - Accent2 9" xfId="122"/>
    <cellStyle name="40% - Accent3 10" xfId="123"/>
    <cellStyle name="40% - Accent3 11" xfId="124"/>
    <cellStyle name="40% - Accent3 12" xfId="125"/>
    <cellStyle name="40% - Accent3 13" xfId="126"/>
    <cellStyle name="40% - Accent3 14" xfId="127"/>
    <cellStyle name="40% - Accent3 2" xfId="128"/>
    <cellStyle name="40% - Accent3 2 2" xfId="129"/>
    <cellStyle name="40% - Accent3 2 3" xfId="130"/>
    <cellStyle name="40% - Accent3 3" xfId="131"/>
    <cellStyle name="40% - Accent3 4" xfId="132"/>
    <cellStyle name="40% - Accent3 5" xfId="133"/>
    <cellStyle name="40% - Accent3 6" xfId="134"/>
    <cellStyle name="40% - Accent3 7" xfId="135"/>
    <cellStyle name="40% - Accent3 8" xfId="136"/>
    <cellStyle name="40% - Accent3 9" xfId="137"/>
    <cellStyle name="40% - Accent4 10" xfId="138"/>
    <cellStyle name="40% - Accent4 11" xfId="139"/>
    <cellStyle name="40% - Accent4 12" xfId="140"/>
    <cellStyle name="40% - Accent4 13" xfId="141"/>
    <cellStyle name="40% - Accent4 14" xfId="142"/>
    <cellStyle name="40% - Accent4 2" xfId="143"/>
    <cellStyle name="40% - Accent4 2 2" xfId="144"/>
    <cellStyle name="40% - Accent4 2 3" xfId="145"/>
    <cellStyle name="40% - Accent4 3" xfId="146"/>
    <cellStyle name="40% - Accent4 4" xfId="147"/>
    <cellStyle name="40% - Accent4 5" xfId="148"/>
    <cellStyle name="40% - Accent4 6" xfId="149"/>
    <cellStyle name="40% - Accent4 7" xfId="150"/>
    <cellStyle name="40% - Accent4 8" xfId="151"/>
    <cellStyle name="40% - Accent4 9" xfId="152"/>
    <cellStyle name="40% - Accent5 10" xfId="153"/>
    <cellStyle name="40% - Accent5 11" xfId="154"/>
    <cellStyle name="40% - Accent5 12" xfId="155"/>
    <cellStyle name="40% - Accent5 13" xfId="156"/>
    <cellStyle name="40% - Accent5 14" xfId="157"/>
    <cellStyle name="40% - Accent5 2" xfId="158"/>
    <cellStyle name="40% - Accent5 2 2" xfId="159"/>
    <cellStyle name="40% - Accent5 2 3" xfId="160"/>
    <cellStyle name="40% - Accent5 3" xfId="161"/>
    <cellStyle name="40% - Accent5 4" xfId="162"/>
    <cellStyle name="40% - Accent5 5" xfId="163"/>
    <cellStyle name="40% - Accent5 6" xfId="164"/>
    <cellStyle name="40% - Accent5 7" xfId="165"/>
    <cellStyle name="40% - Accent5 8" xfId="166"/>
    <cellStyle name="40% - Accent5 9" xfId="167"/>
    <cellStyle name="40% - Accent6 10" xfId="168"/>
    <cellStyle name="40% - Accent6 11" xfId="169"/>
    <cellStyle name="40% - Accent6 12" xfId="170"/>
    <cellStyle name="40% - Accent6 13" xfId="171"/>
    <cellStyle name="40% - Accent6 14" xfId="172"/>
    <cellStyle name="40% - Accent6 2" xfId="173"/>
    <cellStyle name="40% - Accent6 2 2" xfId="174"/>
    <cellStyle name="40% - Accent6 2 3" xfId="175"/>
    <cellStyle name="40% - Accent6 3" xfId="176"/>
    <cellStyle name="40% - Accent6 4" xfId="177"/>
    <cellStyle name="40% - Accent6 5" xfId="178"/>
    <cellStyle name="40% - Accent6 6" xfId="179"/>
    <cellStyle name="40% - Accent6 7" xfId="180"/>
    <cellStyle name="40% - Accent6 8" xfId="181"/>
    <cellStyle name="40% - Accent6 9" xfId="182"/>
    <cellStyle name="60% - Accent1 2" xfId="183"/>
    <cellStyle name="60% - Accent1 2 2" xfId="184"/>
    <cellStyle name="60% - Accent1 2 3" xfId="185"/>
    <cellStyle name="60% - Accent1 3" xfId="186"/>
    <cellStyle name="60% - Accent2 2" xfId="187"/>
    <cellStyle name="60% - Accent2 2 2" xfId="188"/>
    <cellStyle name="60% - Accent2 2 3" xfId="189"/>
    <cellStyle name="60% - Accent2 3" xfId="190"/>
    <cellStyle name="60% - Accent3 2" xfId="191"/>
    <cellStyle name="60% - Accent3 2 2" xfId="192"/>
    <cellStyle name="60% - Accent3 2 3" xfId="193"/>
    <cellStyle name="60% - Accent3 3" xfId="194"/>
    <cellStyle name="60% - Accent4 2" xfId="195"/>
    <cellStyle name="60% - Accent4 2 2" xfId="196"/>
    <cellStyle name="60% - Accent4 2 3" xfId="197"/>
    <cellStyle name="60% - Accent4 3" xfId="198"/>
    <cellStyle name="60% - Accent5 2" xfId="199"/>
    <cellStyle name="60% - Accent5 2 2" xfId="200"/>
    <cellStyle name="60% - Accent5 2 3" xfId="201"/>
    <cellStyle name="60% - Accent5 3" xfId="202"/>
    <cellStyle name="60% - Accent6 2" xfId="203"/>
    <cellStyle name="60% - Accent6 2 2" xfId="204"/>
    <cellStyle name="60% - Accent6 2 3" xfId="205"/>
    <cellStyle name="60% - Accent6 3" xfId="206"/>
    <cellStyle name="Accent1 2" xfId="207"/>
    <cellStyle name="Accent1 2 2" xfId="208"/>
    <cellStyle name="Accent1 2 3" xfId="209"/>
    <cellStyle name="Accent1 3" xfId="210"/>
    <cellStyle name="Accent2 2" xfId="211"/>
    <cellStyle name="Accent2 2 2" xfId="212"/>
    <cellStyle name="Accent2 2 3" xfId="213"/>
    <cellStyle name="Accent2 3" xfId="214"/>
    <cellStyle name="Accent3 2" xfId="215"/>
    <cellStyle name="Accent3 2 2" xfId="216"/>
    <cellStyle name="Accent3 2 3" xfId="217"/>
    <cellStyle name="Accent3 3" xfId="218"/>
    <cellStyle name="Accent4 2" xfId="219"/>
    <cellStyle name="Accent4 2 2" xfId="220"/>
    <cellStyle name="Accent4 2 3" xfId="221"/>
    <cellStyle name="Accent4 3" xfId="222"/>
    <cellStyle name="Accent5 2" xfId="223"/>
    <cellStyle name="Accent5 2 2" xfId="224"/>
    <cellStyle name="Accent5 2 3" xfId="225"/>
    <cellStyle name="Accent5 3" xfId="226"/>
    <cellStyle name="Accent6 2" xfId="227"/>
    <cellStyle name="Accent6 2 2" xfId="228"/>
    <cellStyle name="Accent6 2 3" xfId="229"/>
    <cellStyle name="Accent6 3" xfId="230"/>
    <cellStyle name="Bad 2" xfId="231"/>
    <cellStyle name="Bad 2 2" xfId="232"/>
    <cellStyle name="Bad 2 3" xfId="233"/>
    <cellStyle name="Bad 3" xfId="234"/>
    <cellStyle name="Calculation 2" xfId="235"/>
    <cellStyle name="Calculation 2 2" xfId="236"/>
    <cellStyle name="Calculation 2 2 2" xfId="237"/>
    <cellStyle name="Calculation 2 2 3" xfId="238"/>
    <cellStyle name="Calculation 2 2 4" xfId="239"/>
    <cellStyle name="Calculation 2 2 5" xfId="240"/>
    <cellStyle name="Calculation 2 2 6" xfId="241"/>
    <cellStyle name="Calculation 2 3" xfId="242"/>
    <cellStyle name="Calculation 2 3 2" xfId="243"/>
    <cellStyle name="Calculation 2 3 3" xfId="244"/>
    <cellStyle name="Calculation 2 3 4" xfId="245"/>
    <cellStyle name="Calculation 2 3 5" xfId="246"/>
    <cellStyle name="Calculation 2 3 6" xfId="247"/>
    <cellStyle name="Calculation 2 4" xfId="248"/>
    <cellStyle name="Calculation 2 5" xfId="249"/>
    <cellStyle name="Calculation 2 6" xfId="250"/>
    <cellStyle name="Calculation 2 7" xfId="251"/>
    <cellStyle name="Calculation 2 8" xfId="252"/>
    <cellStyle name="Calculation 3" xfId="253"/>
    <cellStyle name="Calculation 3 2" xfId="254"/>
    <cellStyle name="Calculation 3 3" xfId="255"/>
    <cellStyle name="Calculation 3 4" xfId="256"/>
    <cellStyle name="Calculation 3 5" xfId="257"/>
    <cellStyle name="Calculation 3 6" xfId="258"/>
    <cellStyle name="Check Cell 2" xfId="259"/>
    <cellStyle name="Check Cell 2 2" xfId="260"/>
    <cellStyle name="Check Cell 2 3" xfId="261"/>
    <cellStyle name="Check Cell 3" xfId="262"/>
    <cellStyle name="Comma" xfId="1" builtinId="3"/>
    <cellStyle name="Comma [0] 2" xfId="263"/>
    <cellStyle name="Comma [0] 3" xfId="264"/>
    <cellStyle name="Comma 10" xfId="265"/>
    <cellStyle name="Comma 2" xfId="266"/>
    <cellStyle name="Comma 2 2" xfId="267"/>
    <cellStyle name="Comma 2 3" xfId="268"/>
    <cellStyle name="Comma 3" xfId="269"/>
    <cellStyle name="Comma 3 2" xfId="270"/>
    <cellStyle name="Comma 3 3" xfId="271"/>
    <cellStyle name="Comma 4" xfId="272"/>
    <cellStyle name="Comma 5" xfId="273"/>
    <cellStyle name="Comma 6" xfId="274"/>
    <cellStyle name="Comma 7" xfId="275"/>
    <cellStyle name="Comma 8" xfId="276"/>
    <cellStyle name="Currency 16" xfId="277"/>
    <cellStyle name="Currency 2" xfId="278"/>
    <cellStyle name="Currency 2 2" xfId="279"/>
    <cellStyle name="Currency 2 3" xfId="280"/>
    <cellStyle name="Currency 3" xfId="281"/>
    <cellStyle name="Explanatory Text 2" xfId="282"/>
    <cellStyle name="Explanatory Text 2 2" xfId="283"/>
    <cellStyle name="Explanatory Text 2 3" xfId="284"/>
    <cellStyle name="Explanatory Text 3" xfId="285"/>
    <cellStyle name="Good 2" xfId="286"/>
    <cellStyle name="Good 2 2" xfId="287"/>
    <cellStyle name="Good 2 3" xfId="288"/>
    <cellStyle name="Good 3" xfId="289"/>
    <cellStyle name="Heading 1 2" xfId="290"/>
    <cellStyle name="Heading 1 2 2" xfId="291"/>
    <cellStyle name="Heading 1 2 3" xfId="292"/>
    <cellStyle name="Heading 1 3" xfId="293"/>
    <cellStyle name="Heading 2 2" xfId="294"/>
    <cellStyle name="Heading 2 2 2" xfId="295"/>
    <cellStyle name="Heading 2 2 3" xfId="296"/>
    <cellStyle name="Heading 2 3" xfId="297"/>
    <cellStyle name="Heading 3 2" xfId="298"/>
    <cellStyle name="Heading 3 2 2" xfId="299"/>
    <cellStyle name="Heading 3 2 3" xfId="300"/>
    <cellStyle name="Heading 3 3" xfId="301"/>
    <cellStyle name="Heading 4 2" xfId="302"/>
    <cellStyle name="Heading 4 2 2" xfId="303"/>
    <cellStyle name="Heading 4 2 3" xfId="304"/>
    <cellStyle name="Heading 4 3" xfId="305"/>
    <cellStyle name="Hyperlink 2" xfId="306"/>
    <cellStyle name="Hyperlink 3" xfId="307"/>
    <cellStyle name="Hyperlink 4" xfId="308"/>
    <cellStyle name="Hyperlink 5" xfId="309"/>
    <cellStyle name="Hyperlink 6" xfId="310"/>
    <cellStyle name="Input 2" xfId="311"/>
    <cellStyle name="Input 2 2" xfId="312"/>
    <cellStyle name="Input 2 2 2" xfId="313"/>
    <cellStyle name="Input 2 2 3" xfId="314"/>
    <cellStyle name="Input 2 2 4" xfId="315"/>
    <cellStyle name="Input 2 2 5" xfId="316"/>
    <cellStyle name="Input 2 2 6" xfId="317"/>
    <cellStyle name="Input 2 3" xfId="318"/>
    <cellStyle name="Input 2 3 2" xfId="319"/>
    <cellStyle name="Input 2 3 3" xfId="320"/>
    <cellStyle name="Input 2 3 4" xfId="321"/>
    <cellStyle name="Input 2 3 5" xfId="322"/>
    <cellStyle name="Input 2 3 6" xfId="323"/>
    <cellStyle name="Input 2 4" xfId="324"/>
    <cellStyle name="Input 2 5" xfId="325"/>
    <cellStyle name="Input 2 6" xfId="326"/>
    <cellStyle name="Input 2 7" xfId="327"/>
    <cellStyle name="Input 2 8" xfId="328"/>
    <cellStyle name="Input 3" xfId="329"/>
    <cellStyle name="Input 3 2" xfId="330"/>
    <cellStyle name="Input 3 3" xfId="331"/>
    <cellStyle name="Input 3 4" xfId="332"/>
    <cellStyle name="Input 3 5" xfId="333"/>
    <cellStyle name="Input 3 6" xfId="334"/>
    <cellStyle name="Linked Cell 2" xfId="335"/>
    <cellStyle name="Linked Cell 2 2" xfId="336"/>
    <cellStyle name="Linked Cell 2 3" xfId="337"/>
    <cellStyle name="Linked Cell 3" xfId="338"/>
    <cellStyle name="Neutral 2" xfId="339"/>
    <cellStyle name="Neutral 2 2" xfId="340"/>
    <cellStyle name="Neutral 2 3" xfId="341"/>
    <cellStyle name="Neutral 3" xfId="342"/>
    <cellStyle name="Normal" xfId="0" builtinId="0"/>
    <cellStyle name="Normal 10" xfId="343"/>
    <cellStyle name="Normal 10 2" xfId="344"/>
    <cellStyle name="Normal 10 30" xfId="345"/>
    <cellStyle name="Normal 11" xfId="346"/>
    <cellStyle name="Normal 12" xfId="347"/>
    <cellStyle name="Normal 13" xfId="348"/>
    <cellStyle name="Normal 14" xfId="349"/>
    <cellStyle name="Normal 15" xfId="350"/>
    <cellStyle name="Normal 15 2" xfId="351"/>
    <cellStyle name="Normal 16" xfId="352"/>
    <cellStyle name="Normal 17" xfId="353"/>
    <cellStyle name="Normal 18" xfId="354"/>
    <cellStyle name="Normal 19" xfId="355"/>
    <cellStyle name="Normal 2" xfId="356"/>
    <cellStyle name="Normal 2 10" xfId="357"/>
    <cellStyle name="Normal 2 11" xfId="358"/>
    <cellStyle name="Normal 2 12" xfId="359"/>
    <cellStyle name="Normal 2 13" xfId="360"/>
    <cellStyle name="Normal 2 14" xfId="361"/>
    <cellStyle name="Normal 2 15" xfId="362"/>
    <cellStyle name="Normal 2 16" xfId="363"/>
    <cellStyle name="Normal 2 2" xfId="364"/>
    <cellStyle name="Normal 2 3" xfId="365"/>
    <cellStyle name="Normal 2 33" xfId="366"/>
    <cellStyle name="Normal 2 34" xfId="367"/>
    <cellStyle name="Normal 2 35" xfId="368"/>
    <cellStyle name="Normal 2 36" xfId="369"/>
    <cellStyle name="Normal 2 4" xfId="370"/>
    <cellStyle name="Normal 2 5" xfId="371"/>
    <cellStyle name="Normal 2 6" xfId="372"/>
    <cellStyle name="Normal 2 7" xfId="373"/>
    <cellStyle name="Normal 2 8" xfId="374"/>
    <cellStyle name="Normal 2 9" xfId="375"/>
    <cellStyle name="Normal 20" xfId="376"/>
    <cellStyle name="Normal 21" xfId="377"/>
    <cellStyle name="Normal 22" xfId="378"/>
    <cellStyle name="Normal 23" xfId="379"/>
    <cellStyle name="Normal 24" xfId="380"/>
    <cellStyle name="Normal 25" xfId="381"/>
    <cellStyle name="Normal 259" xfId="382"/>
    <cellStyle name="Normal 26" xfId="383"/>
    <cellStyle name="Normal 27" xfId="384"/>
    <cellStyle name="Normal 28" xfId="385"/>
    <cellStyle name="Normal 28 2" xfId="386"/>
    <cellStyle name="Normal 28 3" xfId="387"/>
    <cellStyle name="Normal 28 4" xfId="388"/>
    <cellStyle name="Normal 28 5" xfId="389"/>
    <cellStyle name="Normal 28 6" xfId="390"/>
    <cellStyle name="Normal 28 7" xfId="391"/>
    <cellStyle name="Normal 29" xfId="392"/>
    <cellStyle name="Normal 3" xfId="393"/>
    <cellStyle name="Normal 3 2" xfId="394"/>
    <cellStyle name="Normal 3 2 2" xfId="395"/>
    <cellStyle name="Normal 3 2 3" xfId="396"/>
    <cellStyle name="Normal 3 3" xfId="397"/>
    <cellStyle name="Normal 3 4" xfId="398"/>
    <cellStyle name="Normal 3 5" xfId="399"/>
    <cellStyle name="Normal 3 6" xfId="400"/>
    <cellStyle name="Normal 30" xfId="401"/>
    <cellStyle name="Normal 31" xfId="402"/>
    <cellStyle name="Normal 32" xfId="403"/>
    <cellStyle name="Normal 33" xfId="404"/>
    <cellStyle name="Normal 34" xfId="405"/>
    <cellStyle name="Normal 35" xfId="406"/>
    <cellStyle name="Normal 36" xfId="407"/>
    <cellStyle name="Normal 37" xfId="408"/>
    <cellStyle name="Normal 38" xfId="409"/>
    <cellStyle name="Normal 39" xfId="410"/>
    <cellStyle name="Normal 4" xfId="411"/>
    <cellStyle name="Normal 40" xfId="412"/>
    <cellStyle name="Normal 41" xfId="413"/>
    <cellStyle name="Normal 42" xfId="414"/>
    <cellStyle name="Normal 43" xfId="415"/>
    <cellStyle name="Normal 44" xfId="416"/>
    <cellStyle name="Normal 45" xfId="417"/>
    <cellStyle name="Normal 46" xfId="418"/>
    <cellStyle name="Normal 47" xfId="419"/>
    <cellStyle name="Normal 48" xfId="420"/>
    <cellStyle name="Normal 48 2" xfId="421"/>
    <cellStyle name="Normal 49" xfId="422"/>
    <cellStyle name="Normal 5" xfId="423"/>
    <cellStyle name="Normal 50" xfId="424"/>
    <cellStyle name="Normal 6" xfId="425"/>
    <cellStyle name="Normal 7" xfId="426"/>
    <cellStyle name="Normal 8" xfId="427"/>
    <cellStyle name="Normal 9" xfId="428"/>
    <cellStyle name="Note 10" xfId="429"/>
    <cellStyle name="Note 11" xfId="430"/>
    <cellStyle name="Note 12" xfId="431"/>
    <cellStyle name="Note 13" xfId="432"/>
    <cellStyle name="Note 14" xfId="433"/>
    <cellStyle name="Note 15" xfId="434"/>
    <cellStyle name="Note 16" xfId="435"/>
    <cellStyle name="Note 2" xfId="436"/>
    <cellStyle name="Note 2 2" xfId="437"/>
    <cellStyle name="Note 2 2 2" xfId="438"/>
    <cellStyle name="Note 2 2 3" xfId="439"/>
    <cellStyle name="Note 2 2 4" xfId="440"/>
    <cellStyle name="Note 2 2 5" xfId="441"/>
    <cellStyle name="Note 2 2 6" xfId="442"/>
    <cellStyle name="Note 2 3" xfId="443"/>
    <cellStyle name="Note 2 3 2" xfId="444"/>
    <cellStyle name="Note 2 3 3" xfId="445"/>
    <cellStyle name="Note 2 3 4" xfId="446"/>
    <cellStyle name="Note 2 3 5" xfId="447"/>
    <cellStyle name="Note 2 3 6" xfId="448"/>
    <cellStyle name="Note 3" xfId="449"/>
    <cellStyle name="Note 4" xfId="450"/>
    <cellStyle name="Note 5" xfId="451"/>
    <cellStyle name="Note 6" xfId="452"/>
    <cellStyle name="Note 7" xfId="453"/>
    <cellStyle name="Note 8" xfId="454"/>
    <cellStyle name="Note 9" xfId="455"/>
    <cellStyle name="Output 2" xfId="456"/>
    <cellStyle name="Output 2 2" xfId="457"/>
    <cellStyle name="Output 2 2 2" xfId="458"/>
    <cellStyle name="Output 2 2 3" xfId="459"/>
    <cellStyle name="Output 2 2 4" xfId="460"/>
    <cellStyle name="Output 2 2 5" xfId="461"/>
    <cellStyle name="Output 2 2 6" xfId="462"/>
    <cellStyle name="Output 2 3" xfId="463"/>
    <cellStyle name="Output 2 3 2" xfId="464"/>
    <cellStyle name="Output 2 3 3" xfId="465"/>
    <cellStyle name="Output 2 3 4" xfId="466"/>
    <cellStyle name="Output 2 3 5" xfId="467"/>
    <cellStyle name="Output 2 3 6" xfId="468"/>
    <cellStyle name="Output 2 4" xfId="469"/>
    <cellStyle name="Output 2 5" xfId="470"/>
    <cellStyle name="Output 2 6" xfId="471"/>
    <cellStyle name="Output 2 7" xfId="472"/>
    <cellStyle name="Output 2 8" xfId="473"/>
    <cellStyle name="Output 3" xfId="474"/>
    <cellStyle name="Output 3 2" xfId="475"/>
    <cellStyle name="Output 3 3" xfId="476"/>
    <cellStyle name="Output 3 4" xfId="477"/>
    <cellStyle name="Output 3 5" xfId="478"/>
    <cellStyle name="Output 3 6" xfId="479"/>
    <cellStyle name="Percent" xfId="2" builtinId="5"/>
    <cellStyle name="Percent 2" xfId="480"/>
    <cellStyle name="Percent 2 2" xfId="481"/>
    <cellStyle name="Percent 3" xfId="482"/>
    <cellStyle name="Percent 4" xfId="483"/>
    <cellStyle name="Title 2" xfId="484"/>
    <cellStyle name="Title 2 2" xfId="485"/>
    <cellStyle name="Title 2 3" xfId="486"/>
    <cellStyle name="Title 3" xfId="487"/>
    <cellStyle name="Total 2" xfId="488"/>
    <cellStyle name="Total 2 2" xfId="489"/>
    <cellStyle name="Total 2 2 2" xfId="490"/>
    <cellStyle name="Total 2 2 3" xfId="491"/>
    <cellStyle name="Total 2 2 4" xfId="492"/>
    <cellStyle name="Total 2 2 5" xfId="493"/>
    <cellStyle name="Total 2 2 6" xfId="494"/>
    <cellStyle name="Total 2 3" xfId="495"/>
    <cellStyle name="Total 2 3 2" xfId="496"/>
    <cellStyle name="Total 2 3 3" xfId="497"/>
    <cellStyle name="Total 2 3 4" xfId="498"/>
    <cellStyle name="Total 2 3 5" xfId="499"/>
    <cellStyle name="Total 2 3 6" xfId="500"/>
    <cellStyle name="Total 2 4" xfId="501"/>
    <cellStyle name="Total 2 5" xfId="502"/>
    <cellStyle name="Total 2 6" xfId="503"/>
    <cellStyle name="Total 2 7" xfId="504"/>
    <cellStyle name="Total 2 8" xfId="505"/>
    <cellStyle name="Total 3" xfId="506"/>
    <cellStyle name="Total 3 2" xfId="507"/>
    <cellStyle name="Total 3 3" xfId="508"/>
    <cellStyle name="Total 3 4" xfId="509"/>
    <cellStyle name="Total 3 5" xfId="510"/>
    <cellStyle name="Total 3 6" xfId="511"/>
    <cellStyle name="Warning Text 2" xfId="512"/>
    <cellStyle name="Warning Text 2 2" xfId="513"/>
    <cellStyle name="Warning Text 2 3" xfId="514"/>
    <cellStyle name="Warning Text 3" xfId="5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dbacudio\My%20Documents\My%20Planning\RECON\FAB1%20Recon\2008%20FAB1\Q208%20FAB1\WW23%20FAB1%20RECON%20Q208\FAB1%20FG%20MONITORING%20WW824(2)%20A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dbacudio\My%20Documents\My%20Planning\RECON\FAB2%20RECON\Q109%20RECON\WW12\WW12%20-%20FAB2_Q109_FG_MONITORING_UPDATE_WW13%201AM%20(4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rdolor/Desktop/WW1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Q208"/>
      <sheetName val="Binning Q208"/>
      <sheetName val="FG Form 166um (REV 17)"/>
      <sheetName val="FG Form Gen C50 (166um) "/>
      <sheetName val="FG Form Gen C65 166um"/>
      <sheetName val="SCRAP (BIN Q &amp; X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FG Form Gen C50 _166um_REV6 (2)"/>
      <sheetName val="Q109 FG"/>
      <sheetName val="Binning Q408"/>
      <sheetName val="Q109 Binning"/>
      <sheetName val="SCRAP _BIN Q _ X_"/>
      <sheetName val="FG Form Gen C50 _166um_REV6L5"/>
      <sheetName val="FG Form Gen C50 145um"/>
      <sheetName val="Sheet1"/>
      <sheetName val="Sheet4"/>
      <sheetName val="Sheet2"/>
      <sheetName val="Sheet3"/>
      <sheetName val="Sheet5"/>
      <sheetName val="Sheet7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 1"/>
      <sheetName val="Macro1"/>
    </sheetNames>
    <sheetDataSet>
      <sheetData sheetId="0" refreshError="1"/>
      <sheetData sheetId="1">
        <row r="45">
          <cell r="A45" t="str">
            <v>Recover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2:X191"/>
  <sheetViews>
    <sheetView showGridLines="0" zoomScale="70" zoomScaleNormal="70" workbookViewId="0">
      <pane xSplit="2" ySplit="13" topLeftCell="C26" activePane="bottomRight" state="frozen"/>
      <selection pane="topRight" activeCell="C1" sqref="C1"/>
      <selection pane="bottomLeft" activeCell="A12" sqref="A12"/>
      <selection pane="bottomRight" activeCell="E6" sqref="E6"/>
    </sheetView>
  </sheetViews>
  <sheetFormatPr defaultRowHeight="15" outlineLevelRow="1" outlineLevelCol="1"/>
  <cols>
    <col min="1" max="1" width="31.5703125" style="1" customWidth="1"/>
    <col min="2" max="2" width="46.42578125" customWidth="1"/>
    <col min="3" max="3" width="33.42578125" customWidth="1" outlineLevel="1"/>
    <col min="4" max="4" width="31.5703125" style="2" customWidth="1" outlineLevel="1"/>
    <col min="5" max="5" width="10.28515625" style="3" customWidth="1"/>
    <col min="6" max="6" width="9.5703125" customWidth="1"/>
    <col min="7" max="7" width="10.28515625" style="3" customWidth="1"/>
    <col min="8" max="8" width="10.28515625" customWidth="1"/>
    <col min="9" max="9" width="10.28515625" style="3" customWidth="1"/>
    <col min="10" max="10" width="10.28515625" customWidth="1"/>
    <col min="11" max="11" width="10.28515625" style="3" customWidth="1"/>
    <col min="12" max="12" width="12.28515625" customWidth="1"/>
    <col min="13" max="13" width="10.28515625" style="3" customWidth="1"/>
    <col min="14" max="14" width="10.28515625" customWidth="1"/>
    <col min="15" max="15" width="10.28515625" style="3" customWidth="1"/>
    <col min="16" max="16" width="10.28515625" customWidth="1"/>
    <col min="17" max="17" width="10.28515625" style="3" customWidth="1"/>
    <col min="18" max="18" width="10.28515625" customWidth="1"/>
    <col min="19" max="19" width="11.85546875" bestFit="1" customWidth="1"/>
    <col min="20" max="20" width="10.140625" bestFit="1" customWidth="1"/>
    <col min="21" max="22" width="10.140625" customWidth="1"/>
    <col min="23" max="23" width="12.28515625" style="3" customWidth="1"/>
    <col min="24" max="24" width="11.42578125" customWidth="1"/>
  </cols>
  <sheetData>
    <row r="2" spans="1:24">
      <c r="S2" s="4"/>
    </row>
    <row r="3" spans="1:24">
      <c r="S3" s="4" t="s">
        <v>0</v>
      </c>
    </row>
    <row r="4" spans="1:24">
      <c r="S4" s="4"/>
    </row>
    <row r="5" spans="1:24">
      <c r="E5" s="5" t="s">
        <v>188</v>
      </c>
      <c r="F5" s="6"/>
      <c r="G5" s="5" t="s">
        <v>189</v>
      </c>
      <c r="H5" s="6"/>
      <c r="I5" s="5"/>
      <c r="J5" s="6"/>
      <c r="K5" s="5" t="s">
        <v>4</v>
      </c>
      <c r="L5" s="6"/>
      <c r="M5" s="5" t="s">
        <v>5</v>
      </c>
      <c r="N5" s="6"/>
      <c r="O5" s="5" t="s">
        <v>6</v>
      </c>
      <c r="P5" s="6"/>
      <c r="Q5" s="5" t="s">
        <v>7</v>
      </c>
      <c r="R5" s="6"/>
      <c r="S5" s="5" t="s">
        <v>8</v>
      </c>
      <c r="T5" s="6"/>
      <c r="U5" s="6" t="s">
        <v>9</v>
      </c>
      <c r="V5" s="6"/>
      <c r="W5" s="5" t="s">
        <v>10</v>
      </c>
      <c r="X5" s="6"/>
    </row>
    <row r="6" spans="1:24" ht="15" customHeight="1">
      <c r="A6" s="7" t="s">
        <v>11</v>
      </c>
      <c r="B6" s="8"/>
      <c r="C6" s="9" t="s">
        <v>12</v>
      </c>
      <c r="D6" s="10" t="s">
        <v>13</v>
      </c>
      <c r="E6" s="11" t="s">
        <v>14</v>
      </c>
      <c r="F6" s="12"/>
      <c r="G6" s="11" t="s">
        <v>14</v>
      </c>
      <c r="H6" s="12"/>
      <c r="I6" s="11" t="s">
        <v>14</v>
      </c>
      <c r="J6" s="12"/>
      <c r="K6" s="11" t="s">
        <v>14</v>
      </c>
      <c r="L6" s="12"/>
      <c r="M6" s="11" t="s">
        <v>14</v>
      </c>
      <c r="N6" s="12"/>
      <c r="O6" s="11" t="s">
        <v>14</v>
      </c>
      <c r="P6" s="12"/>
      <c r="Q6" s="11" t="s">
        <v>14</v>
      </c>
      <c r="R6" s="12"/>
      <c r="S6" s="11" t="s">
        <v>14</v>
      </c>
      <c r="T6" s="12"/>
      <c r="U6" s="11" t="s">
        <v>14</v>
      </c>
      <c r="V6" s="13"/>
      <c r="W6" s="11" t="s">
        <v>14</v>
      </c>
      <c r="X6" s="12"/>
    </row>
    <row r="7" spans="1:24">
      <c r="A7" s="14"/>
      <c r="B7" s="15"/>
      <c r="C7" s="16"/>
      <c r="D7" s="17"/>
      <c r="E7" s="18" t="s">
        <v>15</v>
      </c>
      <c r="F7" s="18" t="s">
        <v>16</v>
      </c>
      <c r="G7" s="18" t="s">
        <v>15</v>
      </c>
      <c r="H7" s="18" t="s">
        <v>16</v>
      </c>
      <c r="I7" s="18" t="s">
        <v>15</v>
      </c>
      <c r="J7" s="18" t="s">
        <v>16</v>
      </c>
      <c r="K7" s="18" t="s">
        <v>15</v>
      </c>
      <c r="L7" s="18" t="s">
        <v>16</v>
      </c>
      <c r="M7" s="18" t="s">
        <v>15</v>
      </c>
      <c r="N7" s="18" t="s">
        <v>16</v>
      </c>
      <c r="O7" s="18" t="s">
        <v>15</v>
      </c>
      <c r="P7" s="18" t="s">
        <v>16</v>
      </c>
      <c r="Q7" s="18" t="s">
        <v>15</v>
      </c>
      <c r="R7" s="18" t="s">
        <v>16</v>
      </c>
      <c r="S7" s="18" t="s">
        <v>15</v>
      </c>
      <c r="T7" s="18" t="s">
        <v>16</v>
      </c>
      <c r="U7" s="18" t="s">
        <v>15</v>
      </c>
      <c r="V7" s="18" t="s">
        <v>16</v>
      </c>
      <c r="W7" s="18" t="s">
        <v>15</v>
      </c>
      <c r="X7" s="18" t="s">
        <v>16</v>
      </c>
    </row>
    <row r="8" spans="1:24" ht="14.25" customHeight="1">
      <c r="A8" s="19"/>
      <c r="B8" s="20"/>
      <c r="C8" s="20"/>
      <c r="D8" s="21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4"/>
      <c r="W8" s="22"/>
      <c r="X8" s="23"/>
    </row>
    <row r="9" spans="1:24">
      <c r="A9" s="25" t="s">
        <v>17</v>
      </c>
      <c r="B9" s="26"/>
      <c r="C9" s="26"/>
      <c r="D9" s="27"/>
      <c r="E9" s="28"/>
      <c r="F9" s="29"/>
      <c r="G9" s="28"/>
      <c r="H9" s="29"/>
      <c r="I9" s="28"/>
      <c r="J9" s="29"/>
      <c r="K9" s="28"/>
      <c r="L9" s="29"/>
      <c r="M9" s="28"/>
      <c r="N9" s="29"/>
      <c r="O9" s="28"/>
      <c r="P9" s="29"/>
      <c r="Q9" s="28"/>
      <c r="R9" s="29"/>
      <c r="S9" s="28"/>
      <c r="T9" s="29"/>
      <c r="U9" s="30"/>
      <c r="V9" s="30"/>
      <c r="W9" s="28"/>
      <c r="X9" s="29"/>
    </row>
    <row r="10" spans="1:24">
      <c r="A10" s="31" t="s">
        <v>18</v>
      </c>
      <c r="B10" s="32"/>
      <c r="C10" s="33" t="s">
        <v>19</v>
      </c>
      <c r="D10" s="34" t="s">
        <v>20</v>
      </c>
      <c r="E10" s="28"/>
      <c r="F10" s="35">
        <v>5202.9652540587631</v>
      </c>
      <c r="G10" s="28"/>
      <c r="H10" s="35">
        <v>40250.072249266501</v>
      </c>
      <c r="I10" s="28"/>
      <c r="J10" s="35">
        <f>SUM(F10,H10)</f>
        <v>45453.037503325264</v>
      </c>
      <c r="K10" s="28"/>
      <c r="L10" s="35">
        <v>37709.742170600133</v>
      </c>
      <c r="M10" s="28"/>
      <c r="N10" s="35">
        <f>SUM(J10,L10)</f>
        <v>83162.779673925397</v>
      </c>
      <c r="O10" s="28"/>
      <c r="P10" s="35"/>
      <c r="Q10" s="28"/>
      <c r="R10" s="35">
        <f>SUM(N10,P10)</f>
        <v>83162.779673925397</v>
      </c>
      <c r="S10" s="28"/>
      <c r="T10" s="35"/>
      <c r="U10" s="36"/>
      <c r="V10" s="36"/>
      <c r="W10" s="28"/>
      <c r="X10" s="35">
        <f>R10</f>
        <v>83162.779673925397</v>
      </c>
    </row>
    <row r="11" spans="1:24">
      <c r="A11" s="31" t="s">
        <v>21</v>
      </c>
      <c r="B11" s="37"/>
      <c r="C11" s="33" t="s">
        <v>19</v>
      </c>
      <c r="D11" s="34" t="s">
        <v>20</v>
      </c>
      <c r="E11" s="28"/>
      <c r="F11" s="35"/>
      <c r="G11" s="28"/>
      <c r="H11" s="35"/>
      <c r="I11" s="28"/>
      <c r="J11" s="35"/>
      <c r="K11" s="28"/>
      <c r="L11" s="35"/>
      <c r="M11" s="28"/>
      <c r="N11" s="35"/>
      <c r="O11" s="38"/>
      <c r="P11" s="35">
        <v>790.654</v>
      </c>
      <c r="Q11" s="28"/>
      <c r="R11" s="35">
        <f>SUM(N11,P11)</f>
        <v>790.654</v>
      </c>
      <c r="S11" s="28"/>
      <c r="T11" s="35"/>
      <c r="U11" s="36"/>
      <c r="V11" s="36"/>
      <c r="W11" s="28"/>
      <c r="X11" s="35">
        <f t="shared" ref="X11:X13" si="0">R11</f>
        <v>790.654</v>
      </c>
    </row>
    <row r="12" spans="1:24">
      <c r="A12" s="31" t="s">
        <v>22</v>
      </c>
      <c r="B12" s="32"/>
      <c r="C12" s="39" t="s">
        <v>23</v>
      </c>
      <c r="D12" s="40" t="s">
        <v>24</v>
      </c>
      <c r="E12" s="28"/>
      <c r="F12" s="41">
        <v>17.825822265657038</v>
      </c>
      <c r="G12" s="28"/>
      <c r="H12" s="41">
        <v>137.44423608872501</v>
      </c>
      <c r="I12" s="28"/>
      <c r="J12" s="35">
        <f>SUM(F12,H12)</f>
        <v>155.27005835438206</v>
      </c>
      <c r="K12" s="28"/>
      <c r="L12" s="41">
        <v>129</v>
      </c>
      <c r="M12" s="28"/>
      <c r="N12" s="35">
        <f>SUM(J12,L12)</f>
        <v>284.27005835438206</v>
      </c>
      <c r="O12" s="28"/>
      <c r="P12" s="41">
        <v>255.54520212404771</v>
      </c>
      <c r="Q12" s="28"/>
      <c r="R12" s="41">
        <f>P12</f>
        <v>255.54520212404771</v>
      </c>
      <c r="S12" s="28"/>
      <c r="T12" s="41"/>
      <c r="U12" s="42"/>
      <c r="V12" s="42"/>
      <c r="W12" s="28"/>
      <c r="X12" s="35">
        <f t="shared" si="0"/>
        <v>255.54520212404771</v>
      </c>
    </row>
    <row r="13" spans="1:24">
      <c r="A13" s="31" t="s">
        <v>25</v>
      </c>
      <c r="B13" s="32"/>
      <c r="C13" s="33" t="s">
        <v>19</v>
      </c>
      <c r="D13" s="34" t="s">
        <v>20</v>
      </c>
      <c r="E13" s="28"/>
      <c r="F13" s="41"/>
      <c r="G13" s="28"/>
      <c r="H13" s="41"/>
      <c r="I13" s="28"/>
      <c r="J13" s="41"/>
      <c r="K13" s="28"/>
      <c r="L13" s="41"/>
      <c r="M13" s="28"/>
      <c r="N13" s="41"/>
      <c r="O13" s="28"/>
      <c r="P13" s="41">
        <v>251.83397399999998</v>
      </c>
      <c r="Q13" s="28"/>
      <c r="R13" s="41">
        <f>P13</f>
        <v>251.83397399999998</v>
      </c>
      <c r="S13" s="28"/>
      <c r="T13" s="41"/>
      <c r="U13" s="42"/>
      <c r="V13" s="42"/>
      <c r="W13" s="28"/>
      <c r="X13" s="35">
        <f t="shared" si="0"/>
        <v>251.83397399999998</v>
      </c>
    </row>
    <row r="14" spans="1:24">
      <c r="A14" s="31" t="s">
        <v>26</v>
      </c>
      <c r="B14" s="32"/>
      <c r="C14" s="39" t="s">
        <v>27</v>
      </c>
      <c r="D14" s="40" t="s">
        <v>24</v>
      </c>
      <c r="E14" s="28"/>
      <c r="F14" s="41"/>
      <c r="G14" s="28"/>
      <c r="H14" s="41"/>
      <c r="I14" s="28"/>
      <c r="J14" s="41"/>
      <c r="K14" s="28"/>
      <c r="L14" s="41"/>
      <c r="M14" s="28"/>
      <c r="N14" s="41"/>
      <c r="O14" s="28"/>
      <c r="P14" s="41"/>
      <c r="Q14" s="28"/>
      <c r="R14" s="41"/>
      <c r="S14" s="28"/>
      <c r="T14" s="41"/>
      <c r="U14" s="42"/>
      <c r="V14" s="42"/>
      <c r="W14" s="28"/>
      <c r="X14" s="35">
        <f>T14</f>
        <v>0</v>
      </c>
    </row>
    <row r="15" spans="1:24">
      <c r="A15" s="31" t="s">
        <v>28</v>
      </c>
      <c r="B15" s="32"/>
      <c r="C15" s="39" t="s">
        <v>27</v>
      </c>
      <c r="D15" s="40" t="s">
        <v>24</v>
      </c>
      <c r="E15" s="28"/>
      <c r="F15" s="41"/>
      <c r="G15" s="28"/>
      <c r="H15" s="41"/>
      <c r="I15" s="28"/>
      <c r="J15" s="41"/>
      <c r="K15" s="28"/>
      <c r="L15" s="41"/>
      <c r="M15" s="28"/>
      <c r="N15" s="41"/>
      <c r="O15" s="28"/>
      <c r="P15" s="41"/>
      <c r="Q15" s="28"/>
      <c r="R15" s="41"/>
      <c r="S15" s="28"/>
      <c r="T15" s="41"/>
      <c r="U15" s="42"/>
      <c r="V15" s="42"/>
      <c r="W15" s="28"/>
      <c r="X15" s="35">
        <f>T15</f>
        <v>0</v>
      </c>
    </row>
    <row r="16" spans="1:24">
      <c r="A16" s="31" t="s">
        <v>29</v>
      </c>
      <c r="B16" s="32"/>
      <c r="C16" s="39" t="s">
        <v>30</v>
      </c>
      <c r="D16" s="40" t="s">
        <v>31</v>
      </c>
      <c r="E16" s="28"/>
      <c r="F16" s="43">
        <v>0.89883838581946296</v>
      </c>
      <c r="G16" s="28"/>
      <c r="H16" s="43">
        <v>0.9221651923009927</v>
      </c>
      <c r="I16" s="28"/>
      <c r="J16" s="43">
        <v>0.89883838581946296</v>
      </c>
      <c r="K16" s="28"/>
      <c r="L16" s="43">
        <v>0.93499999999999994</v>
      </c>
      <c r="M16" s="28"/>
      <c r="N16" s="43">
        <v>0.89883838581946296</v>
      </c>
      <c r="O16" s="28"/>
      <c r="P16" s="43">
        <v>0.99360000000000004</v>
      </c>
      <c r="Q16" s="28"/>
      <c r="R16" s="43"/>
      <c r="S16" s="28"/>
      <c r="T16" s="44"/>
      <c r="U16" s="45"/>
      <c r="V16" s="45"/>
      <c r="W16" s="28"/>
      <c r="X16" s="43"/>
    </row>
    <row r="17" spans="1:24">
      <c r="A17" s="31" t="s">
        <v>32</v>
      </c>
      <c r="B17" s="32"/>
      <c r="C17" s="39" t="s">
        <v>27</v>
      </c>
      <c r="D17" s="40" t="s">
        <v>24</v>
      </c>
      <c r="E17" s="28"/>
      <c r="F17" s="43">
        <v>0.69669159053740592</v>
      </c>
      <c r="G17" s="28"/>
      <c r="H17" s="43">
        <v>0.75195941379408482</v>
      </c>
      <c r="I17" s="28"/>
      <c r="J17" s="43">
        <v>0.69669159053740604</v>
      </c>
      <c r="K17" s="28"/>
      <c r="L17" s="43">
        <v>0.73000000000000009</v>
      </c>
      <c r="M17" s="28"/>
      <c r="N17" s="43">
        <v>0.69669159053740604</v>
      </c>
      <c r="O17" s="28"/>
      <c r="P17" s="43"/>
      <c r="Q17" s="28"/>
      <c r="R17" s="43">
        <f>N17</f>
        <v>0.69669159053740604</v>
      </c>
      <c r="S17" s="28"/>
      <c r="T17" s="44"/>
      <c r="U17" s="45"/>
      <c r="V17" s="45"/>
      <c r="W17" s="28"/>
      <c r="X17" s="43">
        <f>R17</f>
        <v>0.69669159053740604</v>
      </c>
    </row>
    <row r="18" spans="1:24">
      <c r="A18" s="31" t="s">
        <v>33</v>
      </c>
      <c r="B18" s="32"/>
      <c r="C18" s="46" t="s">
        <v>34</v>
      </c>
      <c r="D18" s="34" t="s">
        <v>35</v>
      </c>
      <c r="E18" s="28"/>
      <c r="F18" s="29">
        <f>F12/F10*1000</f>
        <v>3.4260890463858766</v>
      </c>
      <c r="G18" s="28"/>
      <c r="H18" s="29">
        <f>H12/H10*1000</f>
        <v>3.4147575000000088</v>
      </c>
      <c r="I18" s="28"/>
      <c r="J18" s="29">
        <f>J12/J10*1000</f>
        <v>3.4160546111582266</v>
      </c>
      <c r="K18" s="28"/>
      <c r="L18" s="29">
        <f>L12/L10*1000</f>
        <v>3.4208666666666585</v>
      </c>
      <c r="M18" s="28"/>
      <c r="N18" s="29">
        <f>N12/N10*1000</f>
        <v>3.4182366134102566</v>
      </c>
      <c r="O18" s="28"/>
      <c r="P18" s="43"/>
      <c r="Q18" s="28"/>
      <c r="R18" s="29"/>
      <c r="S18" s="28"/>
      <c r="T18" s="29"/>
      <c r="U18" s="30"/>
      <c r="V18" s="30"/>
      <c r="W18" s="28"/>
      <c r="X18" s="29"/>
    </row>
    <row r="19" spans="1:24" ht="16.5" customHeight="1">
      <c r="A19" s="47"/>
      <c r="B19" s="32"/>
      <c r="C19" s="33"/>
      <c r="D19" s="34"/>
      <c r="E19" s="28"/>
      <c r="F19" s="29"/>
      <c r="G19" s="28"/>
      <c r="H19" s="29"/>
      <c r="I19" s="28"/>
      <c r="J19" s="29"/>
      <c r="K19" s="28"/>
      <c r="L19" s="29"/>
      <c r="M19" s="28"/>
      <c r="N19" s="29"/>
      <c r="O19" s="28"/>
      <c r="P19" s="29"/>
      <c r="Q19" s="28"/>
      <c r="R19" s="29"/>
      <c r="S19" s="28"/>
      <c r="T19" s="29"/>
      <c r="U19" s="30"/>
      <c r="V19" s="30"/>
      <c r="W19" s="28"/>
      <c r="X19" s="29"/>
    </row>
    <row r="20" spans="1:24">
      <c r="A20" s="19"/>
      <c r="B20" s="20"/>
      <c r="C20" s="20"/>
      <c r="D20" s="48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4"/>
      <c r="W20" s="22"/>
      <c r="X20" s="23"/>
    </row>
    <row r="21" spans="1:24">
      <c r="A21" s="25" t="s">
        <v>36</v>
      </c>
      <c r="B21" s="33"/>
      <c r="C21" s="33"/>
      <c r="D21" s="34"/>
      <c r="E21" s="49"/>
      <c r="F21" s="29"/>
      <c r="G21" s="49"/>
      <c r="H21" s="29"/>
      <c r="I21" s="49"/>
      <c r="J21" s="29"/>
      <c r="K21" s="49"/>
      <c r="L21" s="29"/>
      <c r="M21" s="49"/>
      <c r="N21" s="29"/>
      <c r="O21" s="49"/>
      <c r="P21" s="29"/>
      <c r="Q21" s="49"/>
      <c r="R21" s="29"/>
      <c r="S21" s="49"/>
      <c r="T21" s="29"/>
      <c r="U21" s="30"/>
      <c r="V21" s="30"/>
      <c r="W21" s="49"/>
      <c r="X21" s="29"/>
    </row>
    <row r="22" spans="1:24">
      <c r="A22" s="50" t="s">
        <v>37</v>
      </c>
      <c r="B22" s="33"/>
      <c r="C22" s="46" t="s">
        <v>34</v>
      </c>
      <c r="D22" s="34" t="s">
        <v>38</v>
      </c>
      <c r="E22" s="49">
        <f t="shared" ref="E22:N22" si="1">+E46</f>
        <v>9559.6575486252023</v>
      </c>
      <c r="F22" s="29">
        <f t="shared" si="1"/>
        <v>0.53628143522123495</v>
      </c>
      <c r="G22" s="49">
        <f t="shared" si="1"/>
        <v>73605.728666874784</v>
      </c>
      <c r="H22" s="29">
        <f t="shared" si="1"/>
        <v>0.53553157819844655</v>
      </c>
      <c r="I22" s="49">
        <f t="shared" si="1"/>
        <v>83165.386215499966</v>
      </c>
      <c r="J22" s="29">
        <f t="shared" si="1"/>
        <v>0.53561766574265512</v>
      </c>
      <c r="K22" s="49">
        <f t="shared" si="1"/>
        <v>65481.427569655265</v>
      </c>
      <c r="L22" s="29">
        <f t="shared" si="1"/>
        <v>0.50760796565624233</v>
      </c>
      <c r="M22" s="49">
        <f t="shared" si="1"/>
        <v>148646.81378515525</v>
      </c>
      <c r="N22" s="29">
        <f t="shared" si="1"/>
        <v>0.52290703651893722</v>
      </c>
      <c r="O22" s="49">
        <f>O46</f>
        <v>277833.57802000002</v>
      </c>
      <c r="P22" s="29">
        <f>P46</f>
        <v>1.0872189174779852</v>
      </c>
      <c r="Q22" s="49">
        <f>M46</f>
        <v>148646.81378515525</v>
      </c>
      <c r="R22" s="29">
        <f>N46</f>
        <v>0.52290703651893722</v>
      </c>
      <c r="S22" s="49"/>
      <c r="T22" s="29"/>
      <c r="U22" s="49"/>
      <c r="V22" s="29"/>
      <c r="W22" s="49">
        <f>Q22</f>
        <v>148646.81378515525</v>
      </c>
      <c r="X22" s="29">
        <f>R22</f>
        <v>0.52290703651893722</v>
      </c>
    </row>
    <row r="23" spans="1:24">
      <c r="A23" s="31" t="s">
        <v>39</v>
      </c>
      <c r="B23" s="33"/>
      <c r="C23" s="46" t="s">
        <v>34</v>
      </c>
      <c r="D23" s="34" t="s">
        <v>38</v>
      </c>
      <c r="E23" s="49">
        <f t="shared" ref="E23:N23" si="2">+E96</f>
        <v>14060.605478556165</v>
      </c>
      <c r="F23" s="29">
        <f t="shared" si="2"/>
        <v>0.78877738535770736</v>
      </c>
      <c r="G23" s="49">
        <f t="shared" si="2"/>
        <v>62933.230157116239</v>
      </c>
      <c r="H23" s="29">
        <f t="shared" si="2"/>
        <v>0.4578819159538321</v>
      </c>
      <c r="I23" s="49">
        <f t="shared" si="2"/>
        <v>76993.835635672396</v>
      </c>
      <c r="J23" s="29">
        <f t="shared" si="2"/>
        <v>0.49587046241680932</v>
      </c>
      <c r="K23" s="49">
        <f t="shared" si="2"/>
        <v>64726.541700694564</v>
      </c>
      <c r="L23" s="29">
        <f t="shared" si="2"/>
        <v>0.50175613721468659</v>
      </c>
      <c r="M23" s="49">
        <f t="shared" si="2"/>
        <v>141720.37733636698</v>
      </c>
      <c r="N23" s="29">
        <f t="shared" si="2"/>
        <v>0.49854134535580541</v>
      </c>
      <c r="O23" s="49"/>
      <c r="P23" s="29"/>
      <c r="Q23" s="49">
        <f>M96</f>
        <v>141720.37733636698</v>
      </c>
      <c r="R23" s="29">
        <f>N96</f>
        <v>0.49854134535580541</v>
      </c>
      <c r="S23" s="51"/>
      <c r="T23" s="29"/>
      <c r="U23" s="51"/>
      <c r="V23" s="29"/>
      <c r="W23" s="49">
        <f>Q23</f>
        <v>141720.37733636698</v>
      </c>
      <c r="X23" s="29">
        <f>R23</f>
        <v>0.49854134535580541</v>
      </c>
    </row>
    <row r="24" spans="1:24">
      <c r="A24" s="52" t="s">
        <v>40</v>
      </c>
      <c r="B24" s="53"/>
      <c r="C24" s="46" t="s">
        <v>34</v>
      </c>
      <c r="D24" s="34" t="s">
        <v>38</v>
      </c>
      <c r="E24" s="54">
        <f t="shared" ref="E24:O24" si="3">+E22+E23</f>
        <v>23620.263027181369</v>
      </c>
      <c r="F24" s="55">
        <f t="shared" si="3"/>
        <v>1.3250588205789424</v>
      </c>
      <c r="G24" s="54">
        <f t="shared" si="3"/>
        <v>136538.95882399101</v>
      </c>
      <c r="H24" s="55">
        <f t="shared" si="3"/>
        <v>0.99341349415227864</v>
      </c>
      <c r="I24" s="54">
        <f t="shared" si="3"/>
        <v>160159.22185117236</v>
      </c>
      <c r="J24" s="55">
        <f t="shared" si="3"/>
        <v>1.0314881281594643</v>
      </c>
      <c r="K24" s="54">
        <f t="shared" si="3"/>
        <v>130207.96927034983</v>
      </c>
      <c r="L24" s="55">
        <f t="shared" si="3"/>
        <v>1.0093641028709288</v>
      </c>
      <c r="M24" s="54">
        <f t="shared" si="3"/>
        <v>290367.19112152222</v>
      </c>
      <c r="N24" s="55">
        <f t="shared" si="3"/>
        <v>1.0214483818747426</v>
      </c>
      <c r="O24" s="54">
        <f t="shared" si="3"/>
        <v>277833.57802000002</v>
      </c>
      <c r="P24" s="55">
        <f>+P22+P23</f>
        <v>1.0872189174779852</v>
      </c>
      <c r="Q24" s="54">
        <f>+Q22+Q23</f>
        <v>290367.19112152222</v>
      </c>
      <c r="R24" s="55">
        <f>+R22+R23</f>
        <v>1.0214483818747426</v>
      </c>
      <c r="S24" s="56"/>
      <c r="T24" s="55"/>
      <c r="U24" s="56"/>
      <c r="V24" s="55"/>
      <c r="W24" s="54">
        <f t="shared" ref="W24:X24" si="4">+W22+W23</f>
        <v>290367.19112152222</v>
      </c>
      <c r="X24" s="55">
        <f t="shared" si="4"/>
        <v>1.0214483818747426</v>
      </c>
    </row>
    <row r="25" spans="1:24">
      <c r="A25" s="31" t="s">
        <v>41</v>
      </c>
      <c r="B25" s="33"/>
      <c r="C25" s="46" t="s">
        <v>34</v>
      </c>
      <c r="D25" s="34" t="s">
        <v>38</v>
      </c>
      <c r="E25" s="49"/>
      <c r="F25" s="29"/>
      <c r="G25" s="49"/>
      <c r="H25" s="29"/>
      <c r="I25" s="49"/>
      <c r="J25" s="29"/>
      <c r="K25" s="49"/>
      <c r="L25" s="29"/>
      <c r="M25" s="49"/>
      <c r="N25" s="29"/>
      <c r="O25" s="49">
        <f>+O96</f>
        <v>92623.114207469189</v>
      </c>
      <c r="P25" s="29">
        <f>+P96</f>
        <v>0.37769927723087027</v>
      </c>
      <c r="Q25" s="49">
        <f>O96</f>
        <v>92623.114207469189</v>
      </c>
      <c r="R25" s="57">
        <f>P96</f>
        <v>0.37769927723087027</v>
      </c>
      <c r="S25" s="58"/>
      <c r="T25" s="59"/>
      <c r="U25" s="58"/>
      <c r="V25" s="59"/>
      <c r="W25" s="49">
        <f>Q25</f>
        <v>92623.114207469189</v>
      </c>
      <c r="X25" s="29">
        <f>R25</f>
        <v>0.37769927723087027</v>
      </c>
    </row>
    <row r="26" spans="1:24">
      <c r="A26" s="52" t="s">
        <v>42</v>
      </c>
      <c r="B26" s="53"/>
      <c r="C26" s="46" t="s">
        <v>34</v>
      </c>
      <c r="D26" s="34" t="s">
        <v>38</v>
      </c>
      <c r="E26" s="54">
        <f t="shared" ref="E26:R26" si="5">+E24+E25</f>
        <v>23620.263027181369</v>
      </c>
      <c r="F26" s="55">
        <f t="shared" si="5"/>
        <v>1.3250588205789424</v>
      </c>
      <c r="G26" s="54">
        <f t="shared" si="5"/>
        <v>136538.95882399101</v>
      </c>
      <c r="H26" s="55">
        <f t="shared" si="5"/>
        <v>0.99341349415227864</v>
      </c>
      <c r="I26" s="54">
        <f t="shared" si="5"/>
        <v>160159.22185117236</v>
      </c>
      <c r="J26" s="55">
        <f t="shared" si="5"/>
        <v>1.0314881281594643</v>
      </c>
      <c r="K26" s="54">
        <f t="shared" si="5"/>
        <v>130207.96927034983</v>
      </c>
      <c r="L26" s="55">
        <f t="shared" si="5"/>
        <v>1.0093641028709288</v>
      </c>
      <c r="M26" s="54">
        <f t="shared" si="5"/>
        <v>290367.19112152222</v>
      </c>
      <c r="N26" s="55">
        <f t="shared" si="5"/>
        <v>1.0214483818747426</v>
      </c>
      <c r="O26" s="54">
        <f t="shared" si="5"/>
        <v>370456.69222746918</v>
      </c>
      <c r="P26" s="55">
        <f t="shared" si="5"/>
        <v>1.4649181947088554</v>
      </c>
      <c r="Q26" s="54">
        <f t="shared" si="5"/>
        <v>382990.30532899138</v>
      </c>
      <c r="R26" s="55">
        <f t="shared" si="5"/>
        <v>1.3991476591056129</v>
      </c>
      <c r="S26" s="60"/>
      <c r="T26" s="55"/>
      <c r="U26" s="60"/>
      <c r="V26" s="55"/>
      <c r="W26" s="54">
        <f t="shared" ref="W26:X26" si="6">+W24+W25</f>
        <v>382990.30532899138</v>
      </c>
      <c r="X26" s="55">
        <f t="shared" si="6"/>
        <v>1.3991476591056129</v>
      </c>
    </row>
    <row r="27" spans="1:24">
      <c r="A27" s="31" t="s">
        <v>43</v>
      </c>
      <c r="B27" s="33"/>
      <c r="C27" s="46" t="s">
        <v>34</v>
      </c>
      <c r="D27" s="34" t="s">
        <v>38</v>
      </c>
      <c r="E27" s="49">
        <f t="shared" ref="E27:P27" si="7">+E108</f>
        <v>504.89219628906494</v>
      </c>
      <c r="F27" s="29">
        <f t="shared" si="7"/>
        <v>2.8323641331361338E-2</v>
      </c>
      <c r="G27" s="49">
        <f t="shared" si="7"/>
        <v>1645.9337718270399</v>
      </c>
      <c r="H27" s="29">
        <f t="shared" si="7"/>
        <v>1.1975284076405595E-2</v>
      </c>
      <c r="I27" s="49">
        <f t="shared" si="7"/>
        <v>2150.8259681161048</v>
      </c>
      <c r="J27" s="29">
        <f t="shared" si="7"/>
        <v>1.3852161781295572E-2</v>
      </c>
      <c r="K27" s="49">
        <f t="shared" si="7"/>
        <v>2897.8260869565215</v>
      </c>
      <c r="L27" s="29">
        <f t="shared" si="7"/>
        <v>2.2463768115942029E-2</v>
      </c>
      <c r="M27" s="49">
        <f t="shared" si="7"/>
        <v>5048.6520550726264</v>
      </c>
      <c r="N27" s="29">
        <f t="shared" si="7"/>
        <v>1.7760055646728654E-2</v>
      </c>
      <c r="O27" s="49">
        <f t="shared" si="7"/>
        <v>5479.2937162950566</v>
      </c>
      <c r="P27" s="29">
        <f t="shared" si="7"/>
        <v>2.144158321405415E-2</v>
      </c>
      <c r="Q27" s="49">
        <f>M108+O108</f>
        <v>10527.945771367682</v>
      </c>
      <c r="R27" s="29">
        <f>N108+P108</f>
        <v>3.9201638860782803E-2</v>
      </c>
      <c r="S27" s="61"/>
      <c r="T27" s="29"/>
      <c r="U27" s="61"/>
      <c r="V27" s="29"/>
      <c r="W27" s="49">
        <f>Q27</f>
        <v>10527.945771367682</v>
      </c>
      <c r="X27" s="29">
        <f>R27</f>
        <v>3.9201638860782803E-2</v>
      </c>
    </row>
    <row r="28" spans="1:24">
      <c r="A28" s="52" t="s">
        <v>44</v>
      </c>
      <c r="B28" s="53"/>
      <c r="C28" s="46" t="s">
        <v>34</v>
      </c>
      <c r="D28" s="34" t="s">
        <v>38</v>
      </c>
      <c r="E28" s="54">
        <f t="shared" ref="E28:R28" si="8">+E26+E27</f>
        <v>24125.155223470432</v>
      </c>
      <c r="F28" s="55">
        <f t="shared" si="8"/>
        <v>1.3533824619103036</v>
      </c>
      <c r="G28" s="54">
        <f t="shared" si="8"/>
        <v>138184.89259581803</v>
      </c>
      <c r="H28" s="55">
        <f t="shared" si="8"/>
        <v>1.0053887782286843</v>
      </c>
      <c r="I28" s="54">
        <f t="shared" si="8"/>
        <v>162310.04781928848</v>
      </c>
      <c r="J28" s="55">
        <f t="shared" si="8"/>
        <v>1.04534028994076</v>
      </c>
      <c r="K28" s="54">
        <f t="shared" si="8"/>
        <v>133105.79535730634</v>
      </c>
      <c r="L28" s="55">
        <f t="shared" si="8"/>
        <v>1.0318278709868709</v>
      </c>
      <c r="M28" s="54">
        <f t="shared" si="8"/>
        <v>295415.84317659482</v>
      </c>
      <c r="N28" s="55">
        <f t="shared" si="8"/>
        <v>1.0392084375214712</v>
      </c>
      <c r="O28" s="54">
        <f t="shared" si="8"/>
        <v>375935.98594376422</v>
      </c>
      <c r="P28" s="55">
        <f t="shared" si="8"/>
        <v>1.4863597779229096</v>
      </c>
      <c r="Q28" s="54">
        <f t="shared" si="8"/>
        <v>393518.25110035908</v>
      </c>
      <c r="R28" s="55">
        <f t="shared" si="8"/>
        <v>1.4383492979663957</v>
      </c>
      <c r="S28" s="62"/>
      <c r="T28" s="63"/>
      <c r="U28" s="62"/>
      <c r="V28" s="63"/>
      <c r="W28" s="54">
        <f t="shared" ref="W28:X28" si="9">+W26+W27</f>
        <v>393518.25110035908</v>
      </c>
      <c r="X28" s="55">
        <f t="shared" si="9"/>
        <v>1.4383492979663957</v>
      </c>
    </row>
    <row r="29" spans="1:24">
      <c r="A29" s="52" t="s">
        <v>45</v>
      </c>
      <c r="B29" s="53"/>
      <c r="C29" s="46" t="s">
        <v>34</v>
      </c>
      <c r="D29" s="34" t="s">
        <v>38</v>
      </c>
      <c r="E29" s="64">
        <f t="shared" ref="E29:R29" si="10">E116</f>
        <v>0</v>
      </c>
      <c r="F29" s="65">
        <f t="shared" si="10"/>
        <v>0</v>
      </c>
      <c r="G29" s="64">
        <f t="shared" si="10"/>
        <v>0</v>
      </c>
      <c r="H29" s="65">
        <f t="shared" si="10"/>
        <v>0</v>
      </c>
      <c r="I29" s="64">
        <f t="shared" si="10"/>
        <v>0</v>
      </c>
      <c r="J29" s="65">
        <f t="shared" si="10"/>
        <v>0</v>
      </c>
      <c r="K29" s="64">
        <f t="shared" si="10"/>
        <v>0</v>
      </c>
      <c r="L29" s="65">
        <f t="shared" si="10"/>
        <v>0</v>
      </c>
      <c r="M29" s="64">
        <f t="shared" si="10"/>
        <v>0</v>
      </c>
      <c r="N29" s="65">
        <f t="shared" si="10"/>
        <v>0</v>
      </c>
      <c r="O29" s="64">
        <f t="shared" si="10"/>
        <v>4099.7937226898975</v>
      </c>
      <c r="P29" s="65">
        <f t="shared" si="10"/>
        <v>1.6043321058713353E-2</v>
      </c>
      <c r="Q29" s="64">
        <f t="shared" si="10"/>
        <v>4099.7937226898975</v>
      </c>
      <c r="R29" s="65">
        <f t="shared" si="10"/>
        <v>1.6043321058713353E-2</v>
      </c>
      <c r="S29" s="62"/>
      <c r="T29" s="63"/>
      <c r="U29" s="62"/>
      <c r="V29" s="63"/>
      <c r="W29" s="64">
        <f>W116</f>
        <v>4099.7937226898975</v>
      </c>
      <c r="X29" s="65">
        <f>X116</f>
        <v>1.6043321058713353E-2</v>
      </c>
    </row>
    <row r="30" spans="1:24">
      <c r="A30" s="52" t="s">
        <v>46</v>
      </c>
      <c r="B30" s="53"/>
      <c r="C30" s="46" t="s">
        <v>34</v>
      </c>
      <c r="D30" s="34" t="s">
        <v>38</v>
      </c>
      <c r="E30" s="54">
        <f t="shared" ref="E30:R30" si="11">E28+E29</f>
        <v>24125.155223470432</v>
      </c>
      <c r="F30" s="55">
        <f t="shared" si="11"/>
        <v>1.3533824619103036</v>
      </c>
      <c r="G30" s="54">
        <f t="shared" si="11"/>
        <v>138184.89259581803</v>
      </c>
      <c r="H30" s="55">
        <f t="shared" si="11"/>
        <v>1.0053887782286843</v>
      </c>
      <c r="I30" s="54">
        <f t="shared" si="11"/>
        <v>162310.04781928848</v>
      </c>
      <c r="J30" s="55">
        <f t="shared" si="11"/>
        <v>1.04534028994076</v>
      </c>
      <c r="K30" s="54">
        <f t="shared" si="11"/>
        <v>133105.79535730634</v>
      </c>
      <c r="L30" s="55">
        <f t="shared" si="11"/>
        <v>1.0318278709868709</v>
      </c>
      <c r="M30" s="54">
        <f t="shared" si="11"/>
        <v>295415.84317659482</v>
      </c>
      <c r="N30" s="55">
        <f t="shared" si="11"/>
        <v>1.0392084375214712</v>
      </c>
      <c r="O30" s="54">
        <f t="shared" si="11"/>
        <v>380035.77966645412</v>
      </c>
      <c r="P30" s="55">
        <f t="shared" si="11"/>
        <v>1.5024030989816231</v>
      </c>
      <c r="Q30" s="54">
        <f t="shared" si="11"/>
        <v>397618.04482304899</v>
      </c>
      <c r="R30" s="55">
        <f t="shared" si="11"/>
        <v>1.4543926190251091</v>
      </c>
      <c r="S30" s="62"/>
      <c r="T30" s="63"/>
      <c r="U30" s="62"/>
      <c r="V30" s="63"/>
      <c r="W30" s="54">
        <f>W28+W29</f>
        <v>397618.04482304899</v>
      </c>
      <c r="X30" s="55">
        <f>X28+X29</f>
        <v>1.4543926190251091</v>
      </c>
    </row>
    <row r="31" spans="1:24">
      <c r="A31" s="52"/>
      <c r="B31" s="53"/>
      <c r="C31" s="53"/>
      <c r="D31" s="66"/>
      <c r="E31" s="54"/>
      <c r="F31" s="55"/>
      <c r="G31" s="54"/>
      <c r="H31" s="55"/>
      <c r="I31" s="54"/>
      <c r="J31" s="55"/>
      <c r="K31" s="54"/>
      <c r="L31" s="55"/>
      <c r="M31" s="54"/>
      <c r="N31" s="55"/>
      <c r="O31" s="54"/>
      <c r="P31" s="55"/>
      <c r="Q31" s="54"/>
      <c r="R31" s="67">
        <f>R28-R109-(N37-R40)</f>
        <v>-2.2204460492503131E-16</v>
      </c>
      <c r="S31" s="54"/>
      <c r="T31" s="55"/>
      <c r="U31" s="54"/>
      <c r="V31" s="55"/>
      <c r="W31" s="54"/>
      <c r="X31" s="55"/>
    </row>
    <row r="32" spans="1:24">
      <c r="A32" s="25" t="s">
        <v>47</v>
      </c>
      <c r="B32" s="53"/>
      <c r="C32" s="53"/>
      <c r="D32" s="66"/>
      <c r="E32" s="68"/>
      <c r="F32" s="69"/>
      <c r="G32" s="68"/>
      <c r="H32" s="69"/>
      <c r="I32" s="68"/>
      <c r="J32" s="69"/>
      <c r="K32" s="68"/>
      <c r="L32" s="69"/>
      <c r="M32" s="68"/>
      <c r="N32" s="69"/>
      <c r="O32" s="68"/>
      <c r="P32" s="69"/>
      <c r="Q32" s="68"/>
      <c r="R32" s="69"/>
      <c r="S32" s="68"/>
      <c r="T32" s="69"/>
      <c r="U32" s="68"/>
      <c r="V32" s="69"/>
      <c r="W32" s="68"/>
      <c r="X32" s="69"/>
    </row>
    <row r="33" spans="1:24" s="33" customFormat="1">
      <c r="A33" s="47" t="s">
        <v>48</v>
      </c>
      <c r="C33" s="46" t="s">
        <v>34</v>
      </c>
      <c r="D33" s="70" t="s">
        <v>49</v>
      </c>
      <c r="E33" s="71">
        <f t="shared" ref="E33:R33" si="12">+E121</f>
        <v>-4695.0089539042619</v>
      </c>
      <c r="F33" s="72">
        <f t="shared" si="12"/>
        <v>-0.26338246191030368</v>
      </c>
      <c r="G33" s="71">
        <f t="shared" si="12"/>
        <v>11629.324740892233</v>
      </c>
      <c r="H33" s="72">
        <f t="shared" si="12"/>
        <v>8.4611221771316067E-2</v>
      </c>
      <c r="I33" s="71">
        <f t="shared" si="12"/>
        <v>6934.3157869879888</v>
      </c>
      <c r="J33" s="72">
        <f t="shared" si="12"/>
        <v>4.4659710059240174E-2</v>
      </c>
      <c r="K33" s="71">
        <f t="shared" si="12"/>
        <v>7504.2046426936486</v>
      </c>
      <c r="L33" s="72">
        <f t="shared" si="12"/>
        <v>5.8172129013129237E-2</v>
      </c>
      <c r="M33" s="71">
        <f t="shared" si="12"/>
        <v>14438.520429681608</v>
      </c>
      <c r="N33" s="72">
        <f t="shared" si="12"/>
        <v>5.0791562478528798E-2</v>
      </c>
      <c r="O33" s="71">
        <f t="shared" si="12"/>
        <v>-7991.1885864540873</v>
      </c>
      <c r="P33" s="72">
        <f t="shared" si="12"/>
        <v>-2.5062352732667312E-2</v>
      </c>
      <c r="Q33" s="71">
        <f>+Q121</f>
        <v>6447.3318432275501</v>
      </c>
      <c r="R33" s="72">
        <f t="shared" si="12"/>
        <v>2.5729209745861362E-2</v>
      </c>
      <c r="S33" s="71"/>
      <c r="T33" s="72"/>
      <c r="U33" s="71"/>
      <c r="V33" s="72"/>
      <c r="W33" s="71">
        <f>Q121</f>
        <v>6447.3318432275501</v>
      </c>
      <c r="X33" s="72">
        <f>+R121</f>
        <v>2.5729209745861362E-2</v>
      </c>
    </row>
    <row r="34" spans="1:24" s="33" customFormat="1">
      <c r="A34" s="47" t="s">
        <v>50</v>
      </c>
      <c r="C34" s="46" t="s">
        <v>34</v>
      </c>
      <c r="D34" s="70" t="s">
        <v>51</v>
      </c>
      <c r="E34" s="71"/>
      <c r="F34" s="72"/>
      <c r="G34" s="71"/>
      <c r="H34" s="72"/>
      <c r="I34" s="71"/>
      <c r="J34" s="72"/>
      <c r="K34" s="71"/>
      <c r="L34" s="72"/>
      <c r="M34" s="71"/>
      <c r="N34" s="72"/>
      <c r="O34" s="71"/>
      <c r="P34" s="72"/>
      <c r="Q34" s="71"/>
      <c r="R34" s="72"/>
      <c r="S34" s="71">
        <f>S121</f>
        <v>-5299.9999999999991</v>
      </c>
      <c r="T34" s="72"/>
      <c r="U34" s="71"/>
      <c r="V34" s="72"/>
      <c r="W34" s="71">
        <f>S121</f>
        <v>-5299.9999999999991</v>
      </c>
      <c r="X34" s="72"/>
    </row>
    <row r="35" spans="1:24" s="33" customFormat="1">
      <c r="A35" s="73"/>
      <c r="B35" s="74"/>
      <c r="C35" s="74"/>
      <c r="D35" s="75"/>
      <c r="E35" s="76"/>
      <c r="F35" s="77"/>
      <c r="G35" s="76"/>
      <c r="H35" s="77"/>
      <c r="I35" s="76"/>
      <c r="J35" s="77"/>
      <c r="K35" s="76"/>
      <c r="L35" s="77"/>
      <c r="M35" s="76"/>
      <c r="N35" s="77"/>
      <c r="O35" s="76"/>
      <c r="P35" s="77"/>
      <c r="Q35" s="76"/>
      <c r="R35" s="77"/>
      <c r="S35" s="76"/>
      <c r="T35" s="77"/>
      <c r="U35" s="76"/>
      <c r="V35" s="77"/>
      <c r="W35" s="76"/>
      <c r="X35" s="77"/>
    </row>
    <row r="36" spans="1:24">
      <c r="A36" s="78"/>
      <c r="B36" s="33"/>
      <c r="C36" s="33"/>
      <c r="D36" s="34"/>
      <c r="E36" s="71"/>
      <c r="F36" s="72"/>
      <c r="G36" s="71"/>
      <c r="H36" s="72"/>
      <c r="I36" s="71"/>
      <c r="J36" s="72"/>
      <c r="K36" s="71"/>
      <c r="L36" s="72"/>
      <c r="M36" s="79"/>
      <c r="N36" s="72"/>
      <c r="O36" s="71"/>
      <c r="P36" s="72"/>
      <c r="Q36" s="71"/>
      <c r="R36" s="72"/>
      <c r="S36" s="71"/>
      <c r="T36" s="72"/>
      <c r="U36" s="71"/>
      <c r="V36" s="72"/>
      <c r="W36" s="71"/>
      <c r="X36" s="72"/>
    </row>
    <row r="37" spans="1:24">
      <c r="A37" s="80" t="s">
        <v>52</v>
      </c>
      <c r="B37" s="81"/>
      <c r="C37" s="81" t="s">
        <v>53</v>
      </c>
      <c r="D37" s="82" t="s">
        <v>54</v>
      </c>
      <c r="E37" s="83">
        <v>19430.146269566172</v>
      </c>
      <c r="F37" s="84">
        <f>+E37/F$12/1000</f>
        <v>1.0900000000000001</v>
      </c>
      <c r="G37" s="83">
        <v>149814.21733671028</v>
      </c>
      <c r="H37" s="84">
        <f>+G37/H$12/1000</f>
        <v>1.0900000000000003</v>
      </c>
      <c r="I37" s="83">
        <f>SUM(E37,G37)</f>
        <v>169244.36360627646</v>
      </c>
      <c r="J37" s="84">
        <f>+I37/J$12/1000</f>
        <v>1.0900000000000001</v>
      </c>
      <c r="K37" s="83">
        <v>140610</v>
      </c>
      <c r="L37" s="84">
        <f>+K37/L$12/1000</f>
        <v>1.0900000000000001</v>
      </c>
      <c r="M37" s="83">
        <f>SUM(I37,K37)</f>
        <v>309854.36360627646</v>
      </c>
      <c r="N37" s="84">
        <f>+M37/N$12/1000</f>
        <v>1.0900000000000001</v>
      </c>
      <c r="O37" s="83">
        <v>372044.59108000004</v>
      </c>
      <c r="P37" s="84">
        <f>+O37/P$13/1000</f>
        <v>1.4773407462489556</v>
      </c>
      <c r="Q37" s="83">
        <f>O37</f>
        <v>372044.59108000004</v>
      </c>
      <c r="R37" s="84">
        <f>+Q37/R$13/1000</f>
        <v>1.4773407462489556</v>
      </c>
      <c r="S37" s="83">
        <f>0.03*183.56*1000+2500</f>
        <v>8006.8</v>
      </c>
      <c r="T37" s="84"/>
      <c r="U37" s="83"/>
      <c r="V37" s="84"/>
      <c r="W37" s="83">
        <f>Q37+S37+U37</f>
        <v>380051.39108000003</v>
      </c>
      <c r="X37" s="84">
        <f>R37+T37+V37</f>
        <v>1.4773407462489556</v>
      </c>
    </row>
    <row r="38" spans="1:24">
      <c r="A38" s="78"/>
      <c r="B38" s="33"/>
      <c r="C38" s="33"/>
      <c r="D38" s="34"/>
      <c r="E38" s="71"/>
      <c r="F38" s="72"/>
      <c r="G38" s="71"/>
      <c r="H38" s="72"/>
      <c r="I38" s="71"/>
      <c r="J38" s="72"/>
      <c r="K38" s="71"/>
      <c r="L38" s="72"/>
      <c r="M38" s="71"/>
      <c r="N38" s="85"/>
      <c r="O38" s="71"/>
      <c r="P38" s="72"/>
      <c r="Q38" s="71"/>
      <c r="R38" s="72"/>
      <c r="S38" s="71"/>
      <c r="T38" s="72"/>
      <c r="U38" s="71"/>
      <c r="V38" s="72"/>
      <c r="W38" s="71"/>
      <c r="X38" s="72"/>
    </row>
    <row r="39" spans="1:24">
      <c r="A39" s="78" t="s">
        <v>55</v>
      </c>
      <c r="B39" s="33"/>
      <c r="C39" s="33"/>
      <c r="D39" s="34"/>
      <c r="E39" s="71"/>
      <c r="F39" s="72"/>
      <c r="G39" s="71"/>
      <c r="H39" s="72"/>
      <c r="I39" s="71"/>
      <c r="J39" s="72"/>
      <c r="K39" s="71"/>
      <c r="L39" s="72"/>
      <c r="M39" s="71"/>
      <c r="N39" s="72"/>
      <c r="O39" s="79"/>
      <c r="P39" s="72"/>
      <c r="Q39" s="71"/>
      <c r="R39" s="86"/>
      <c r="S39" s="71"/>
      <c r="T39" s="72"/>
      <c r="U39" s="71"/>
      <c r="V39" s="72"/>
      <c r="W39" s="71"/>
      <c r="X39" s="72"/>
    </row>
    <row r="40" spans="1:24">
      <c r="A40" s="78"/>
      <c r="B40" s="33" t="s">
        <v>56</v>
      </c>
      <c r="C40" s="46" t="s">
        <v>53</v>
      </c>
      <c r="D40" s="34" t="s">
        <v>54</v>
      </c>
      <c r="E40" s="71">
        <f>6975.23102315026+3039.70498981813</f>
        <v>10014.93601296839</v>
      </c>
      <c r="F40" s="72">
        <f>+E40/F$12/1000</f>
        <v>0.56182182587240403</v>
      </c>
      <c r="G40" s="71">
        <f>53608.7609046191+23401.2965139125</f>
        <v>77010.057418531593</v>
      </c>
      <c r="H40" s="72">
        <f>+G40/H$12/1000</f>
        <v>0.5603003778843002</v>
      </c>
      <c r="I40" s="71">
        <f>SUM(E40,G40)</f>
        <v>87024.993431499985</v>
      </c>
      <c r="J40" s="72">
        <f>+I40/J$12/1000</f>
        <v>0.5604750481440387</v>
      </c>
      <c r="K40" s="71">
        <v>68955.427569655265</v>
      </c>
      <c r="L40" s="72">
        <f>+K40/L$12/1000</f>
        <v>0.53453819821438187</v>
      </c>
      <c r="M40" s="71">
        <f>SUM(I40,K40)</f>
        <v>155980.42100115525</v>
      </c>
      <c r="N40" s="72">
        <f>+M40/N$12/1000</f>
        <v>0.54870506554265386</v>
      </c>
      <c r="O40" s="49">
        <f>277833.57802</f>
        <v>277833.57802000002</v>
      </c>
      <c r="P40" s="72">
        <f>+O40/P$12/1000</f>
        <v>1.0872189174779852</v>
      </c>
      <c r="Q40" s="71">
        <f>O40</f>
        <v>277833.57802000002</v>
      </c>
      <c r="R40" s="72">
        <f>+Q40/R$12/1000</f>
        <v>1.0872189174779852</v>
      </c>
      <c r="S40" s="71"/>
      <c r="T40" s="72"/>
      <c r="U40" s="71"/>
      <c r="V40" s="72"/>
      <c r="W40" s="71">
        <f t="shared" ref="W40:X42" si="13">Q40+S40+U40</f>
        <v>277833.57802000002</v>
      </c>
      <c r="X40" s="72">
        <f t="shared" si="13"/>
        <v>1.0872189174779852</v>
      </c>
    </row>
    <row r="41" spans="1:24">
      <c r="A41" s="78"/>
      <c r="B41" s="33" t="s">
        <v>57</v>
      </c>
      <c r="C41" s="46" t="s">
        <v>53</v>
      </c>
      <c r="D41" s="34" t="s">
        <v>58</v>
      </c>
      <c r="E41" s="71">
        <v>-873.64593834318919</v>
      </c>
      <c r="F41" s="72">
        <f>+E41/F$12/1000</f>
        <v>-4.9010134024860236E-2</v>
      </c>
      <c r="G41" s="71">
        <v>-6535.9801216568167</v>
      </c>
      <c r="H41" s="72">
        <f>+G41/H$12/1000</f>
        <v>-4.755368655428821E-2</v>
      </c>
      <c r="I41" s="71">
        <f>SUM(E41,G41)</f>
        <v>-7409.626060000006</v>
      </c>
      <c r="J41" s="72">
        <f>+I41/J$12/1000</f>
        <v>-4.7720894411519943E-2</v>
      </c>
      <c r="K41" s="71">
        <v>-3474</v>
      </c>
      <c r="L41" s="72">
        <f>+K41/L$12/1000</f>
        <v>-2.6930232558139536E-2</v>
      </c>
      <c r="M41" s="71">
        <f t="shared" ref="M41:M45" si="14">SUM(I41,K41)</f>
        <v>-10883.626060000006</v>
      </c>
      <c r="N41" s="72">
        <f>+M41/N$12/1000</f>
        <v>-3.8286220233690799E-2</v>
      </c>
      <c r="O41" s="71"/>
      <c r="P41" s="72">
        <f>+O41/P$12/1000</f>
        <v>0</v>
      </c>
      <c r="Q41" s="71"/>
      <c r="R41" s="72">
        <f>+Q41/R$12/1000</f>
        <v>0</v>
      </c>
      <c r="S41" s="71"/>
      <c r="T41" s="72"/>
      <c r="U41" s="71"/>
      <c r="V41" s="72"/>
      <c r="W41" s="71">
        <f t="shared" si="13"/>
        <v>0</v>
      </c>
      <c r="X41" s="72">
        <f t="shared" si="13"/>
        <v>0</v>
      </c>
    </row>
    <row r="42" spans="1:24">
      <c r="A42" s="78"/>
      <c r="B42" s="46" t="s">
        <v>59</v>
      </c>
      <c r="C42" s="46" t="s">
        <v>53</v>
      </c>
      <c r="D42" s="70" t="s">
        <v>60</v>
      </c>
      <c r="E42" s="71">
        <v>381.57739400000003</v>
      </c>
      <c r="F42" s="72">
        <f>+E42/F$12/1000</f>
        <v>2.1405878972278393E-2</v>
      </c>
      <c r="G42" s="71">
        <v>2601.6640500000003</v>
      </c>
      <c r="H42" s="72">
        <f>+G42/H$12/1000</f>
        <v>1.8928869802299578E-2</v>
      </c>
      <c r="I42" s="71">
        <f>SUM(E42,G42)</f>
        <v>2983.2414440000002</v>
      </c>
      <c r="J42" s="72">
        <f>+I42/J$12/1000</f>
        <v>1.9213243529484426E-2</v>
      </c>
      <c r="K42" s="71"/>
      <c r="L42" s="72">
        <f>+K42/L$12/1000</f>
        <v>0</v>
      </c>
      <c r="M42" s="71">
        <f t="shared" si="14"/>
        <v>2983.2414440000002</v>
      </c>
      <c r="N42" s="72">
        <f>+M42/N$12/1000</f>
        <v>1.0494392062497753E-2</v>
      </c>
      <c r="O42" s="71"/>
      <c r="P42" s="72">
        <f>+O42/P$12/1000</f>
        <v>0</v>
      </c>
      <c r="Q42" s="71"/>
      <c r="R42" s="72">
        <f>+Q42/R$12/1000</f>
        <v>0</v>
      </c>
      <c r="S42" s="71"/>
      <c r="T42" s="72"/>
      <c r="U42" s="71"/>
      <c r="V42" s="72"/>
      <c r="W42" s="71">
        <f t="shared" si="13"/>
        <v>0</v>
      </c>
      <c r="X42" s="72">
        <f t="shared" si="13"/>
        <v>0</v>
      </c>
    </row>
    <row r="43" spans="1:24">
      <c r="A43" s="78"/>
      <c r="B43" s="46" t="s">
        <v>61</v>
      </c>
      <c r="C43" s="46" t="s">
        <v>62</v>
      </c>
      <c r="D43" s="70" t="s">
        <v>63</v>
      </c>
      <c r="E43" s="71"/>
      <c r="F43" s="72"/>
      <c r="G43" s="71"/>
      <c r="H43" s="72"/>
      <c r="I43" s="71"/>
      <c r="J43" s="72"/>
      <c r="K43" s="71"/>
      <c r="L43" s="72"/>
      <c r="M43" s="71"/>
      <c r="N43" s="72"/>
      <c r="O43" s="71"/>
      <c r="P43" s="72"/>
      <c r="Q43" s="71"/>
      <c r="R43" s="72"/>
      <c r="S43" s="71"/>
      <c r="T43" s="72"/>
      <c r="U43" s="71"/>
      <c r="V43" s="72"/>
      <c r="W43" s="71">
        <f>Q43+S43+U43</f>
        <v>0</v>
      </c>
      <c r="X43" s="72">
        <f>R43+T43+V43</f>
        <v>0</v>
      </c>
    </row>
    <row r="44" spans="1:24" outlineLevel="1">
      <c r="A44" s="78"/>
      <c r="B44" s="46" t="s">
        <v>64</v>
      </c>
      <c r="C44" s="46" t="s">
        <v>34</v>
      </c>
      <c r="D44" s="70" t="s">
        <v>65</v>
      </c>
      <c r="E44" s="71">
        <f>860.937630320493-E51</f>
        <v>36.79008000000033</v>
      </c>
      <c r="F44" s="72">
        <f>+E44/F$12/1000</f>
        <v>2.0638644014127497E-3</v>
      </c>
      <c r="G44" s="71">
        <f>5166.89558731222-G51</f>
        <v>529.98731999999745</v>
      </c>
      <c r="H44" s="72">
        <f>+G44/H$12/1000</f>
        <v>3.8560170661348964E-3</v>
      </c>
      <c r="I44" s="71">
        <f>SUM(E44,G44)</f>
        <v>566.77739999999778</v>
      </c>
      <c r="J44" s="72">
        <f>+I44/J$12/1000</f>
        <v>3.6502684806520012E-3</v>
      </c>
      <c r="K44" s="71"/>
      <c r="L44" s="72">
        <f>+K44/L$12/1000</f>
        <v>0</v>
      </c>
      <c r="M44" s="71">
        <f t="shared" si="14"/>
        <v>566.77739999999778</v>
      </c>
      <c r="N44" s="72">
        <f>+M44/N$12/1000</f>
        <v>1.9937991474762748E-3</v>
      </c>
      <c r="O44" s="71"/>
      <c r="P44" s="72">
        <f>+O44/P$12/1000</f>
        <v>0</v>
      </c>
      <c r="Q44" s="71"/>
      <c r="R44" s="72">
        <f>+Q44/R$12/1000</f>
        <v>0</v>
      </c>
      <c r="S44" s="71"/>
      <c r="T44" s="72"/>
      <c r="U44" s="71"/>
      <c r="V44" s="72"/>
      <c r="W44" s="71">
        <f t="shared" ref="W44:W45" si="15">Q44+S44</f>
        <v>0</v>
      </c>
      <c r="X44" s="72">
        <f t="shared" ref="X44:X45" si="16">+W44/X$12/1000</f>
        <v>0</v>
      </c>
    </row>
    <row r="45" spans="1:24">
      <c r="A45" s="78"/>
      <c r="B45" s="46" t="s">
        <v>66</v>
      </c>
      <c r="C45" s="46" t="s">
        <v>34</v>
      </c>
      <c r="D45" s="70" t="s">
        <v>67</v>
      </c>
      <c r="E45" s="71"/>
      <c r="F45" s="72">
        <f>+E45/F$12/1000</f>
        <v>0</v>
      </c>
      <c r="G45" s="71"/>
      <c r="H45" s="72">
        <f>+G45/H$12/1000</f>
        <v>0</v>
      </c>
      <c r="I45" s="71">
        <f>SUM(E45,G45)</f>
        <v>0</v>
      </c>
      <c r="J45" s="72">
        <f>+I45/J$12/1000</f>
        <v>0</v>
      </c>
      <c r="K45" s="71"/>
      <c r="L45" s="72">
        <f>+K45/L$12/1000</f>
        <v>0</v>
      </c>
      <c r="M45" s="71">
        <f t="shared" si="14"/>
        <v>0</v>
      </c>
      <c r="N45" s="72">
        <f>+M45/N$12/1000</f>
        <v>0</v>
      </c>
      <c r="O45" s="71"/>
      <c r="P45" s="72">
        <f>+O45/P$12/1000</f>
        <v>0</v>
      </c>
      <c r="Q45" s="71">
        <f>-(M121+M120+M119)</f>
        <v>-14438.520429681608</v>
      </c>
      <c r="R45" s="72">
        <f>+Q45/N$12/1000</f>
        <v>-5.0791562478528743E-2</v>
      </c>
      <c r="S45" s="71"/>
      <c r="T45" s="72"/>
      <c r="U45" s="71"/>
      <c r="V45" s="72"/>
      <c r="W45" s="71">
        <f t="shared" si="15"/>
        <v>-14438.520429681608</v>
      </c>
      <c r="X45" s="72">
        <f t="shared" si="16"/>
        <v>-5.6500847246088413E-2</v>
      </c>
    </row>
    <row r="46" spans="1:24">
      <c r="A46" s="87" t="s">
        <v>55</v>
      </c>
      <c r="B46" s="88"/>
      <c r="C46" s="88"/>
      <c r="D46" s="89"/>
      <c r="E46" s="90">
        <f>+SUM(E40:E45)</f>
        <v>9559.6575486252023</v>
      </c>
      <c r="F46" s="91">
        <f>+E46/F$12/1000</f>
        <v>0.53628143522123495</v>
      </c>
      <c r="G46" s="90">
        <f t="shared" ref="G46:P46" si="17">+SUM(G40:G45)</f>
        <v>73605.728666874784</v>
      </c>
      <c r="H46" s="91">
        <f t="shared" si="17"/>
        <v>0.53553157819844655</v>
      </c>
      <c r="I46" s="90">
        <f t="shared" si="17"/>
        <v>83165.386215499966</v>
      </c>
      <c r="J46" s="91">
        <f t="shared" si="17"/>
        <v>0.53561766574265512</v>
      </c>
      <c r="K46" s="90">
        <f t="shared" si="17"/>
        <v>65481.427569655265</v>
      </c>
      <c r="L46" s="91">
        <f t="shared" si="17"/>
        <v>0.50760796565624233</v>
      </c>
      <c r="M46" s="90">
        <f t="shared" si="17"/>
        <v>148646.81378515525</v>
      </c>
      <c r="N46" s="91">
        <f t="shared" si="17"/>
        <v>0.52290703651893722</v>
      </c>
      <c r="O46" s="90">
        <f t="shared" si="17"/>
        <v>277833.57802000002</v>
      </c>
      <c r="P46" s="91">
        <f t="shared" si="17"/>
        <v>1.0872189174779852</v>
      </c>
      <c r="Q46" s="90">
        <f>+SUM(Q40:Q45)</f>
        <v>263395.05759031838</v>
      </c>
      <c r="R46" s="91">
        <f>+SUM(R40:R45)</f>
        <v>1.0364273549994565</v>
      </c>
      <c r="S46" s="90">
        <f>SUM(S40:S45)</f>
        <v>0</v>
      </c>
      <c r="T46" s="91">
        <f>SUM(T40:T45)</f>
        <v>0</v>
      </c>
      <c r="U46" s="90">
        <f>SUM(U40:U45)</f>
        <v>0</v>
      </c>
      <c r="V46" s="91">
        <f>SUM(V40:V45)</f>
        <v>0</v>
      </c>
      <c r="W46" s="90">
        <f>+SUM(W40:W45)</f>
        <v>263395.05759031838</v>
      </c>
      <c r="X46" s="91">
        <f>+SUM(X40:X45)</f>
        <v>1.0307180702318968</v>
      </c>
    </row>
    <row r="47" spans="1:24">
      <c r="A47" s="92"/>
      <c r="B47" s="93"/>
      <c r="C47" s="93"/>
      <c r="D47" s="94"/>
      <c r="E47" s="49"/>
      <c r="F47" s="95">
        <f>+E46/F$12/1000-F46</f>
        <v>0</v>
      </c>
      <c r="G47" s="61"/>
      <c r="H47" s="95">
        <f>+G46/H$12/1000-H46</f>
        <v>0</v>
      </c>
      <c r="I47" s="61"/>
      <c r="J47" s="95">
        <f>+I46/J$12/1000-J46</f>
        <v>0</v>
      </c>
      <c r="K47" s="61"/>
      <c r="L47" s="95">
        <f>+K46/L$12/1000-L46</f>
        <v>0</v>
      </c>
      <c r="M47" s="61"/>
      <c r="N47" s="95">
        <f>+M46/N$12/1000-N46</f>
        <v>0</v>
      </c>
      <c r="O47" s="61"/>
      <c r="P47" s="95">
        <f>+O46/P$12/1000-P46</f>
        <v>0</v>
      </c>
      <c r="Q47" s="61"/>
      <c r="R47" s="95"/>
      <c r="S47" s="49"/>
      <c r="T47" s="29"/>
      <c r="U47" s="49"/>
      <c r="V47" s="29"/>
      <c r="W47" s="61"/>
      <c r="X47" s="95">
        <f>+W46/R$12/1000-X46</f>
        <v>0</v>
      </c>
    </row>
    <row r="48" spans="1:24">
      <c r="A48" s="78" t="s">
        <v>68</v>
      </c>
      <c r="B48" s="33"/>
      <c r="C48" s="33"/>
      <c r="D48" s="34"/>
      <c r="E48" s="71"/>
      <c r="F48" s="72"/>
      <c r="G48" s="71"/>
      <c r="H48" s="72"/>
      <c r="I48" s="71"/>
      <c r="J48" s="72"/>
      <c r="K48" s="71"/>
      <c r="L48" s="72"/>
      <c r="M48" s="71"/>
      <c r="N48" s="72"/>
      <c r="O48" s="71"/>
      <c r="P48" s="72"/>
      <c r="Q48" s="71"/>
      <c r="R48" s="72"/>
      <c r="S48" s="71"/>
      <c r="T48" s="72"/>
      <c r="U48" s="71"/>
      <c r="V48" s="72"/>
      <c r="W48" s="71"/>
      <c r="X48" s="72"/>
    </row>
    <row r="49" spans="1:24">
      <c r="A49" s="78"/>
      <c r="B49" s="96" t="s">
        <v>69</v>
      </c>
      <c r="C49" s="33"/>
      <c r="D49" s="34"/>
      <c r="E49" s="71">
        <f t="shared" ref="E49:Q49" si="18">+SUM(E50:E51)</f>
        <v>824.14755032049266</v>
      </c>
      <c r="F49" s="72">
        <f t="shared" si="18"/>
        <v>4.6233353953510629E-2</v>
      </c>
      <c r="G49" s="71">
        <f t="shared" si="18"/>
        <v>4636.908267312223</v>
      </c>
      <c r="H49" s="72">
        <f t="shared" si="18"/>
        <v>3.3736651308672844E-2</v>
      </c>
      <c r="I49" s="71">
        <f t="shared" si="18"/>
        <v>5461.0558176327158</v>
      </c>
      <c r="J49" s="72">
        <f t="shared" si="18"/>
        <v>3.5171338734018023E-2</v>
      </c>
      <c r="K49" s="71">
        <f t="shared" si="18"/>
        <v>4256.0147707647802</v>
      </c>
      <c r="L49" s="72">
        <f t="shared" si="18"/>
        <v>3.2992362564068067E-2</v>
      </c>
      <c r="M49" s="71">
        <f t="shared" si="18"/>
        <v>9717.0705883974952</v>
      </c>
      <c r="N49" s="72">
        <f t="shared" si="18"/>
        <v>3.4182532781147912E-2</v>
      </c>
      <c r="O49" s="71">
        <f t="shared" si="18"/>
        <v>1863.1709579788414</v>
      </c>
      <c r="P49" s="72">
        <f t="shared" si="18"/>
        <v>2.2537284381427894E-2</v>
      </c>
      <c r="Q49" s="71">
        <f t="shared" si="18"/>
        <v>1863.1709579788414</v>
      </c>
      <c r="R49" s="72">
        <f>+SUM(R50:R51)</f>
        <v>2.2537284381427894E-2</v>
      </c>
      <c r="S49" s="71"/>
      <c r="T49" s="72"/>
      <c r="U49" s="71"/>
      <c r="V49" s="72"/>
      <c r="W49" s="71">
        <f t="shared" ref="W49:X63" si="19">Q49+S49+U49</f>
        <v>1863.1709579788414</v>
      </c>
      <c r="X49" s="72">
        <f t="shared" si="19"/>
        <v>2.2537284381427894E-2</v>
      </c>
    </row>
    <row r="50" spans="1:24" ht="15" customHeight="1" outlineLevel="1">
      <c r="A50" s="78"/>
      <c r="B50" s="97" t="s">
        <v>70</v>
      </c>
      <c r="C50" s="46" t="s">
        <v>71</v>
      </c>
      <c r="D50" s="40" t="s">
        <v>72</v>
      </c>
      <c r="E50" s="71"/>
      <c r="F50" s="72">
        <f t="shared" ref="F50:F63" si="20">+E50/F$12/1000</f>
        <v>0</v>
      </c>
      <c r="G50" s="71"/>
      <c r="H50" s="72">
        <f t="shared" ref="H50:H63" si="21">+G50/H$12/1000</f>
        <v>0</v>
      </c>
      <c r="I50" s="71">
        <f t="shared" ref="I50:I63" si="22">SUM(E50,G50)</f>
        <v>0</v>
      </c>
      <c r="J50" s="72">
        <f t="shared" ref="J50:J63" si="23">+I50/J$12/1000</f>
        <v>0</v>
      </c>
      <c r="K50" s="71"/>
      <c r="L50" s="72">
        <f t="shared" ref="L50:L63" si="24">+K50/L$12/1000</f>
        <v>0</v>
      </c>
      <c r="M50" s="71">
        <f t="shared" ref="M50:M63" si="25">SUM(I50,K50)</f>
        <v>0</v>
      </c>
      <c r="N50" s="72">
        <f t="shared" ref="N50:N63" si="26">+M50/N$12/1000</f>
        <v>0</v>
      </c>
      <c r="O50" s="71"/>
      <c r="P50" s="72">
        <v>1.52463200334672E-2</v>
      </c>
      <c r="Q50" s="71">
        <f>O50</f>
        <v>0</v>
      </c>
      <c r="R50" s="72">
        <f>P50</f>
        <v>1.52463200334672E-2</v>
      </c>
      <c r="S50" s="71"/>
      <c r="T50" s="72"/>
      <c r="U50" s="71"/>
      <c r="V50" s="72"/>
      <c r="W50" s="71">
        <f t="shared" si="19"/>
        <v>0</v>
      </c>
      <c r="X50" s="72">
        <f t="shared" si="19"/>
        <v>1.52463200334672E-2</v>
      </c>
    </row>
    <row r="51" spans="1:24" ht="15" customHeight="1" outlineLevel="1">
      <c r="A51" s="78"/>
      <c r="B51" s="98" t="s">
        <v>73</v>
      </c>
      <c r="C51" s="46" t="s">
        <v>53</v>
      </c>
      <c r="D51" s="34" t="s">
        <v>54</v>
      </c>
      <c r="E51" s="71">
        <v>824.14755032049266</v>
      </c>
      <c r="F51" s="72">
        <f t="shared" si="20"/>
        <v>4.6233353953510629E-2</v>
      </c>
      <c r="G51" s="71">
        <v>4636.908267312223</v>
      </c>
      <c r="H51" s="72">
        <f t="shared" si="21"/>
        <v>3.3736651308672844E-2</v>
      </c>
      <c r="I51" s="71">
        <f t="shared" si="22"/>
        <v>5461.0558176327158</v>
      </c>
      <c r="J51" s="72">
        <f t="shared" si="23"/>
        <v>3.5171338734018023E-2</v>
      </c>
      <c r="K51" s="71">
        <v>4256.0147707647802</v>
      </c>
      <c r="L51" s="72">
        <f t="shared" si="24"/>
        <v>3.2992362564068067E-2</v>
      </c>
      <c r="M51" s="71">
        <f t="shared" si="25"/>
        <v>9717.0705883974952</v>
      </c>
      <c r="N51" s="72">
        <f t="shared" si="26"/>
        <v>3.4182532781147912E-2</v>
      </c>
      <c r="O51" s="71">
        <v>1863.1709579788414</v>
      </c>
      <c r="P51" s="72">
        <f t="shared" ref="P51:R63" si="27">+O51/P$12/1000</f>
        <v>7.2909643479606946E-3</v>
      </c>
      <c r="Q51" s="71">
        <f>O51</f>
        <v>1863.1709579788414</v>
      </c>
      <c r="R51" s="72">
        <f t="shared" si="27"/>
        <v>7.2909643479606946E-3</v>
      </c>
      <c r="S51" s="71"/>
      <c r="T51" s="72"/>
      <c r="U51" s="71"/>
      <c r="V51" s="72"/>
      <c r="W51" s="71">
        <f t="shared" si="19"/>
        <v>1863.1709579788414</v>
      </c>
      <c r="X51" s="72">
        <f t="shared" si="19"/>
        <v>7.2909643479606946E-3</v>
      </c>
    </row>
    <row r="52" spans="1:24">
      <c r="A52" s="78"/>
      <c r="B52" s="96" t="s">
        <v>74</v>
      </c>
      <c r="C52" s="46" t="s">
        <v>53</v>
      </c>
      <c r="D52" s="34" t="s">
        <v>54</v>
      </c>
      <c r="E52" s="71"/>
      <c r="F52" s="72">
        <f t="shared" si="20"/>
        <v>0</v>
      </c>
      <c r="G52" s="71"/>
      <c r="H52" s="72">
        <f t="shared" si="21"/>
        <v>0</v>
      </c>
      <c r="I52" s="71">
        <f t="shared" si="22"/>
        <v>0</v>
      </c>
      <c r="J52" s="72">
        <f t="shared" si="23"/>
        <v>0</v>
      </c>
      <c r="K52" s="71"/>
      <c r="L52" s="72">
        <f t="shared" si="24"/>
        <v>0</v>
      </c>
      <c r="M52" s="71">
        <f t="shared" si="25"/>
        <v>0</v>
      </c>
      <c r="N52" s="72">
        <f t="shared" si="26"/>
        <v>0</v>
      </c>
      <c r="O52" s="71">
        <v>62462.229060305821</v>
      </c>
      <c r="P52" s="72">
        <f t="shared" si="27"/>
        <v>0.24442732065063452</v>
      </c>
      <c r="Q52" s="71">
        <f t="shared" ref="Q52:Q63" si="28">O52</f>
        <v>62462.229060305821</v>
      </c>
      <c r="R52" s="72">
        <f t="shared" si="27"/>
        <v>0.24442732065063452</v>
      </c>
      <c r="S52" s="71"/>
      <c r="T52" s="72"/>
      <c r="U52" s="71"/>
      <c r="V52" s="72"/>
      <c r="W52" s="71">
        <f t="shared" si="19"/>
        <v>62462.229060305821</v>
      </c>
      <c r="X52" s="72">
        <f t="shared" si="19"/>
        <v>0.24442732065063452</v>
      </c>
    </row>
    <row r="53" spans="1:24">
      <c r="A53" s="78"/>
      <c r="B53" s="96" t="s">
        <v>75</v>
      </c>
      <c r="C53" s="46" t="s">
        <v>53</v>
      </c>
      <c r="D53" s="34" t="s">
        <v>54</v>
      </c>
      <c r="E53" s="71">
        <v>2253.446605384891</v>
      </c>
      <c r="F53" s="72">
        <f t="shared" si="20"/>
        <v>0.12641473542156578</v>
      </c>
      <c r="G53" s="71">
        <v>13210.623628446037</v>
      </c>
      <c r="H53" s="72">
        <f t="shared" si="21"/>
        <v>9.6116243244410218E-2</v>
      </c>
      <c r="I53" s="71">
        <f t="shared" si="22"/>
        <v>15464.070233830927</v>
      </c>
      <c r="J53" s="72">
        <f t="shared" si="23"/>
        <v>9.959467007178141E-2</v>
      </c>
      <c r="K53" s="71">
        <v>11825.933659832521</v>
      </c>
      <c r="L53" s="72">
        <f t="shared" si="24"/>
        <v>9.1673904339786991E-2</v>
      </c>
      <c r="M53" s="71">
        <f t="shared" si="25"/>
        <v>27290.003893663448</v>
      </c>
      <c r="N53" s="72">
        <f t="shared" si="26"/>
        <v>9.6000275412905678E-2</v>
      </c>
      <c r="O53" s="71"/>
      <c r="P53" s="72">
        <f t="shared" si="27"/>
        <v>0</v>
      </c>
      <c r="Q53" s="71">
        <f t="shared" si="28"/>
        <v>0</v>
      </c>
      <c r="R53" s="72">
        <f t="shared" si="27"/>
        <v>0</v>
      </c>
      <c r="S53" s="71"/>
      <c r="T53" s="72"/>
      <c r="U53" s="71"/>
      <c r="V53" s="72"/>
      <c r="W53" s="71">
        <f t="shared" si="19"/>
        <v>0</v>
      </c>
      <c r="X53" s="72">
        <f t="shared" si="19"/>
        <v>0</v>
      </c>
    </row>
    <row r="54" spans="1:24">
      <c r="A54" s="78"/>
      <c r="B54" s="96" t="s">
        <v>76</v>
      </c>
      <c r="C54" s="46" t="s">
        <v>53</v>
      </c>
      <c r="D54" s="34" t="s">
        <v>54</v>
      </c>
      <c r="E54" s="71">
        <v>1617.4933313938459</v>
      </c>
      <c r="F54" s="72">
        <f t="shared" si="20"/>
        <v>9.0738778121337182E-2</v>
      </c>
      <c r="G54" s="71">
        <v>4612.7416317223897</v>
      </c>
      <c r="H54" s="72">
        <f t="shared" si="21"/>
        <v>3.3560822650610868E-2</v>
      </c>
      <c r="I54" s="71">
        <f t="shared" si="22"/>
        <v>6230.234963116236</v>
      </c>
      <c r="J54" s="72">
        <f t="shared" si="23"/>
        <v>4.0125153742755743E-2</v>
      </c>
      <c r="K54" s="71">
        <v>3148.8824820014329</v>
      </c>
      <c r="L54" s="72">
        <f t="shared" si="24"/>
        <v>2.4409941720941339E-2</v>
      </c>
      <c r="M54" s="71">
        <f t="shared" si="25"/>
        <v>9379.1174451176685</v>
      </c>
      <c r="N54" s="72">
        <f t="shared" si="26"/>
        <v>3.2993687409123111E-2</v>
      </c>
      <c r="O54" s="71"/>
      <c r="P54" s="72">
        <f t="shared" si="27"/>
        <v>0</v>
      </c>
      <c r="Q54" s="71">
        <f t="shared" si="28"/>
        <v>0</v>
      </c>
      <c r="R54" s="72">
        <f t="shared" si="27"/>
        <v>0</v>
      </c>
      <c r="S54" s="71"/>
      <c r="T54" s="72"/>
      <c r="U54" s="71"/>
      <c r="V54" s="72"/>
      <c r="W54" s="71">
        <f t="shared" si="19"/>
        <v>0</v>
      </c>
      <c r="X54" s="72">
        <f t="shared" si="19"/>
        <v>0</v>
      </c>
    </row>
    <row r="55" spans="1:24">
      <c r="A55" s="78"/>
      <c r="B55" s="99" t="s">
        <v>77</v>
      </c>
      <c r="C55" s="46" t="s">
        <v>53</v>
      </c>
      <c r="D55" s="34" t="s">
        <v>54</v>
      </c>
      <c r="E55" s="71"/>
      <c r="F55" s="72">
        <f t="shared" si="20"/>
        <v>0</v>
      </c>
      <c r="G55" s="71"/>
      <c r="H55" s="72">
        <f t="shared" si="21"/>
        <v>0</v>
      </c>
      <c r="I55" s="71">
        <f t="shared" si="22"/>
        <v>0</v>
      </c>
      <c r="J55" s="72">
        <f t="shared" si="23"/>
        <v>0</v>
      </c>
      <c r="K55" s="71"/>
      <c r="L55" s="72">
        <f t="shared" si="24"/>
        <v>0</v>
      </c>
      <c r="M55" s="71">
        <f t="shared" si="25"/>
        <v>0</v>
      </c>
      <c r="N55" s="72">
        <f t="shared" si="26"/>
        <v>0</v>
      </c>
      <c r="O55" s="71"/>
      <c r="P55" s="72">
        <f t="shared" si="27"/>
        <v>0</v>
      </c>
      <c r="Q55" s="71">
        <f t="shared" si="28"/>
        <v>0</v>
      </c>
      <c r="R55" s="72">
        <f t="shared" si="27"/>
        <v>0</v>
      </c>
      <c r="S55" s="71"/>
      <c r="T55" s="72"/>
      <c r="U55" s="71"/>
      <c r="V55" s="72"/>
      <c r="W55" s="71">
        <f t="shared" si="19"/>
        <v>0</v>
      </c>
      <c r="X55" s="72">
        <f t="shared" si="19"/>
        <v>0</v>
      </c>
    </row>
    <row r="56" spans="1:24">
      <c r="A56" s="78"/>
      <c r="B56" s="96" t="s">
        <v>78</v>
      </c>
      <c r="C56" s="46" t="s">
        <v>53</v>
      </c>
      <c r="D56" s="34" t="s">
        <v>54</v>
      </c>
      <c r="E56" s="71"/>
      <c r="F56" s="72">
        <f t="shared" si="20"/>
        <v>0</v>
      </c>
      <c r="G56" s="71"/>
      <c r="H56" s="72">
        <f t="shared" si="21"/>
        <v>0</v>
      </c>
      <c r="I56" s="71">
        <f t="shared" si="22"/>
        <v>0</v>
      </c>
      <c r="J56" s="72">
        <f t="shared" si="23"/>
        <v>0</v>
      </c>
      <c r="K56" s="71"/>
      <c r="L56" s="72">
        <f t="shared" si="24"/>
        <v>0</v>
      </c>
      <c r="M56" s="71">
        <f t="shared" si="25"/>
        <v>0</v>
      </c>
      <c r="N56" s="72">
        <f t="shared" si="26"/>
        <v>0</v>
      </c>
      <c r="O56" s="71">
        <v>12482.35958582477</v>
      </c>
      <c r="P56" s="72">
        <f t="shared" si="27"/>
        <v>4.884599468928999E-2</v>
      </c>
      <c r="Q56" s="71">
        <f t="shared" si="28"/>
        <v>12482.35958582477</v>
      </c>
      <c r="R56" s="72">
        <f t="shared" si="27"/>
        <v>4.884599468928999E-2</v>
      </c>
      <c r="S56" s="71"/>
      <c r="T56" s="72"/>
      <c r="U56" s="71"/>
      <c r="V56" s="72"/>
      <c r="W56" s="71">
        <f t="shared" si="19"/>
        <v>12482.35958582477</v>
      </c>
      <c r="X56" s="72">
        <f t="shared" si="19"/>
        <v>4.884599468928999E-2</v>
      </c>
    </row>
    <row r="57" spans="1:24">
      <c r="A57" s="78"/>
      <c r="B57" s="96" t="s">
        <v>79</v>
      </c>
      <c r="C57" s="46" t="s">
        <v>53</v>
      </c>
      <c r="D57" s="34" t="s">
        <v>54</v>
      </c>
      <c r="E57" s="71">
        <v>159.55487158736904</v>
      </c>
      <c r="F57" s="72">
        <f t="shared" si="20"/>
        <v>8.9507720434734185E-3</v>
      </c>
      <c r="G57" s="71">
        <v>960</v>
      </c>
      <c r="H57" s="72">
        <f t="shared" si="21"/>
        <v>6.9846508469099192E-3</v>
      </c>
      <c r="I57" s="71">
        <f t="shared" si="22"/>
        <v>1119.554871587369</v>
      </c>
      <c r="J57" s="72">
        <f t="shared" si="23"/>
        <v>7.2103719381114836E-3</v>
      </c>
      <c r="K57" s="71">
        <v>543.42470165413545</v>
      </c>
      <c r="L57" s="72">
        <f t="shared" si="24"/>
        <v>4.2125945864661665E-3</v>
      </c>
      <c r="M57" s="71">
        <f t="shared" si="25"/>
        <v>1662.9795732415046</v>
      </c>
      <c r="N57" s="72">
        <f t="shared" si="26"/>
        <v>5.8499990567714658E-3</v>
      </c>
      <c r="O57" s="71">
        <f>6443.72460732537+160</f>
        <v>6603.72460732537</v>
      </c>
      <c r="P57" s="72">
        <f t="shared" si="27"/>
        <v>2.5841708443110449E-2</v>
      </c>
      <c r="Q57" s="71">
        <f t="shared" si="28"/>
        <v>6603.72460732537</v>
      </c>
      <c r="R57" s="72">
        <f t="shared" si="27"/>
        <v>2.5841708443110449E-2</v>
      </c>
      <c r="S57" s="71"/>
      <c r="T57" s="72"/>
      <c r="U57" s="71"/>
      <c r="V57" s="72"/>
      <c r="W57" s="71">
        <f t="shared" si="19"/>
        <v>6603.72460732537</v>
      </c>
      <c r="X57" s="72">
        <f t="shared" si="19"/>
        <v>2.5841708443110449E-2</v>
      </c>
    </row>
    <row r="58" spans="1:24">
      <c r="A58" s="78"/>
      <c r="B58" s="96" t="s">
        <v>80</v>
      </c>
      <c r="C58" s="46" t="s">
        <v>53</v>
      </c>
      <c r="D58" s="34" t="s">
        <v>54</v>
      </c>
      <c r="E58" s="71">
        <v>13.954609999769332</v>
      </c>
      <c r="F58" s="72">
        <f t="shared" si="20"/>
        <v>7.8283120923145714E-4</v>
      </c>
      <c r="G58" s="71">
        <v>3550.1948499999999</v>
      </c>
      <c r="H58" s="72">
        <f t="shared" si="21"/>
        <v>2.5830074443487221E-2</v>
      </c>
      <c r="I58" s="71">
        <f t="shared" si="22"/>
        <v>3564.1494599997691</v>
      </c>
      <c r="J58" s="72">
        <f t="shared" si="23"/>
        <v>2.2954518712584623E-2</v>
      </c>
      <c r="K58" s="71">
        <v>757.2636521739131</v>
      </c>
      <c r="L58" s="72">
        <f t="shared" si="24"/>
        <v>5.870260869565218E-3</v>
      </c>
      <c r="M58" s="71">
        <f t="shared" si="25"/>
        <v>4321.4131121736818</v>
      </c>
      <c r="N58" s="72">
        <f t="shared" si="26"/>
        <v>1.5201787825246236E-2</v>
      </c>
      <c r="O58" s="71"/>
      <c r="P58" s="72">
        <f t="shared" si="27"/>
        <v>0</v>
      </c>
      <c r="Q58" s="71">
        <f t="shared" si="28"/>
        <v>0</v>
      </c>
      <c r="R58" s="72">
        <f t="shared" si="27"/>
        <v>0</v>
      </c>
      <c r="S58" s="71"/>
      <c r="T58" s="72"/>
      <c r="U58" s="71"/>
      <c r="V58" s="72"/>
      <c r="W58" s="71">
        <f t="shared" si="19"/>
        <v>0</v>
      </c>
      <c r="X58" s="72">
        <f t="shared" si="19"/>
        <v>0</v>
      </c>
    </row>
    <row r="59" spans="1:24">
      <c r="A59" s="78"/>
      <c r="B59" s="96" t="s">
        <v>81</v>
      </c>
      <c r="C59" s="46" t="s">
        <v>53</v>
      </c>
      <c r="D59" s="34" t="s">
        <v>54</v>
      </c>
      <c r="E59" s="71"/>
      <c r="F59" s="72">
        <f t="shared" si="20"/>
        <v>0</v>
      </c>
      <c r="G59" s="71"/>
      <c r="H59" s="72">
        <f t="shared" si="21"/>
        <v>0</v>
      </c>
      <c r="I59" s="71">
        <f t="shared" si="22"/>
        <v>0</v>
      </c>
      <c r="J59" s="72">
        <f t="shared" si="23"/>
        <v>0</v>
      </c>
      <c r="K59" s="71"/>
      <c r="L59" s="72">
        <f t="shared" si="24"/>
        <v>0</v>
      </c>
      <c r="M59" s="71">
        <f t="shared" si="25"/>
        <v>0</v>
      </c>
      <c r="N59" s="72">
        <f t="shared" si="26"/>
        <v>0</v>
      </c>
      <c r="O59" s="71"/>
      <c r="P59" s="72">
        <f t="shared" si="27"/>
        <v>0</v>
      </c>
      <c r="Q59" s="71">
        <f t="shared" si="28"/>
        <v>0</v>
      </c>
      <c r="R59" s="72">
        <f t="shared" si="27"/>
        <v>0</v>
      </c>
      <c r="S59" s="71">
        <f>0.03*183.56*1000</f>
        <v>5506.8</v>
      </c>
      <c r="T59" s="72"/>
      <c r="U59" s="71"/>
      <c r="V59" s="72"/>
      <c r="W59" s="71">
        <f t="shared" si="19"/>
        <v>5506.8</v>
      </c>
      <c r="X59" s="72">
        <f t="shared" si="19"/>
        <v>0</v>
      </c>
    </row>
    <row r="60" spans="1:24">
      <c r="A60" s="78"/>
      <c r="B60" s="96" t="s">
        <v>82</v>
      </c>
      <c r="C60" s="46" t="s">
        <v>53</v>
      </c>
      <c r="D60" s="34" t="s">
        <v>54</v>
      </c>
      <c r="E60" s="71"/>
      <c r="F60" s="72">
        <f t="shared" si="20"/>
        <v>0</v>
      </c>
      <c r="G60" s="71"/>
      <c r="H60" s="72">
        <f t="shared" si="21"/>
        <v>0</v>
      </c>
      <c r="I60" s="71">
        <f t="shared" si="22"/>
        <v>0</v>
      </c>
      <c r="J60" s="72">
        <f t="shared" si="23"/>
        <v>0</v>
      </c>
      <c r="K60" s="71">
        <v>10163.305850742299</v>
      </c>
      <c r="L60" s="72">
        <f t="shared" si="24"/>
        <v>7.8785316672420919E-2</v>
      </c>
      <c r="M60" s="71">
        <f t="shared" si="25"/>
        <v>10163.305850742299</v>
      </c>
      <c r="N60" s="72">
        <f t="shared" si="26"/>
        <v>3.5752291006576321E-2</v>
      </c>
      <c r="O60" s="71"/>
      <c r="P60" s="72">
        <f t="shared" si="27"/>
        <v>0</v>
      </c>
      <c r="Q60" s="71">
        <f t="shared" si="28"/>
        <v>0</v>
      </c>
      <c r="R60" s="72">
        <f t="shared" si="27"/>
        <v>0</v>
      </c>
      <c r="S60" s="71"/>
      <c r="T60" s="72"/>
      <c r="U60" s="71"/>
      <c r="V60" s="72"/>
      <c r="W60" s="71">
        <f t="shared" si="19"/>
        <v>0</v>
      </c>
      <c r="X60" s="72">
        <f t="shared" si="19"/>
        <v>0</v>
      </c>
    </row>
    <row r="61" spans="1:24">
      <c r="A61" s="78"/>
      <c r="B61" s="96" t="s">
        <v>83</v>
      </c>
      <c r="C61" s="46" t="s">
        <v>53</v>
      </c>
      <c r="D61" s="34" t="s">
        <v>54</v>
      </c>
      <c r="E61" s="71"/>
      <c r="F61" s="72">
        <f t="shared" si="20"/>
        <v>0</v>
      </c>
      <c r="G61" s="71"/>
      <c r="H61" s="72">
        <f t="shared" si="21"/>
        <v>0</v>
      </c>
      <c r="I61" s="71">
        <f t="shared" si="22"/>
        <v>0</v>
      </c>
      <c r="J61" s="72">
        <f t="shared" si="23"/>
        <v>0</v>
      </c>
      <c r="K61" s="71"/>
      <c r="L61" s="72">
        <f t="shared" si="24"/>
        <v>0</v>
      </c>
      <c r="M61" s="71">
        <f t="shared" si="25"/>
        <v>0</v>
      </c>
      <c r="N61" s="72">
        <f t="shared" si="26"/>
        <v>0</v>
      </c>
      <c r="O61" s="71">
        <v>1008.0142646894033</v>
      </c>
      <c r="P61" s="72">
        <f t="shared" si="27"/>
        <v>3.944563452222786E-3</v>
      </c>
      <c r="Q61" s="71">
        <f t="shared" si="28"/>
        <v>1008.0142646894033</v>
      </c>
      <c r="R61" s="72">
        <f t="shared" si="27"/>
        <v>3.944563452222786E-3</v>
      </c>
      <c r="S61" s="71"/>
      <c r="T61" s="72"/>
      <c r="U61" s="71"/>
      <c r="V61" s="72"/>
      <c r="W61" s="71">
        <f t="shared" si="19"/>
        <v>1008.0142646894033</v>
      </c>
      <c r="X61" s="72">
        <f t="shared" si="19"/>
        <v>3.944563452222786E-3</v>
      </c>
    </row>
    <row r="62" spans="1:24">
      <c r="A62" s="78"/>
      <c r="B62" s="100" t="s">
        <v>84</v>
      </c>
      <c r="C62" s="46" t="s">
        <v>53</v>
      </c>
      <c r="D62" s="34" t="s">
        <v>54</v>
      </c>
      <c r="E62" s="71">
        <v>114.21835658082338</v>
      </c>
      <c r="F62" s="72">
        <f t="shared" si="20"/>
        <v>6.4074663641673774E-3</v>
      </c>
      <c r="G62" s="71">
        <v>415.56520254639724</v>
      </c>
      <c r="H62" s="72">
        <f t="shared" si="21"/>
        <v>3.0235185874083184E-3</v>
      </c>
      <c r="I62" s="71">
        <f t="shared" si="22"/>
        <v>529.78355912722066</v>
      </c>
      <c r="J62" s="72">
        <f t="shared" si="23"/>
        <v>3.4120136537726044E-3</v>
      </c>
      <c r="K62" s="71">
        <v>249.70169248749337</v>
      </c>
      <c r="L62" s="72">
        <f t="shared" si="24"/>
        <v>1.9356720347867705E-3</v>
      </c>
      <c r="M62" s="71">
        <f t="shared" si="25"/>
        <v>779.485251614714</v>
      </c>
      <c r="N62" s="72">
        <f t="shared" si="26"/>
        <v>2.7420589284960061E-3</v>
      </c>
      <c r="O62" s="71"/>
      <c r="P62" s="72">
        <f t="shared" si="27"/>
        <v>0</v>
      </c>
      <c r="Q62" s="71">
        <f t="shared" si="28"/>
        <v>0</v>
      </c>
      <c r="R62" s="72">
        <f t="shared" si="27"/>
        <v>0</v>
      </c>
      <c r="S62" s="71"/>
      <c r="T62" s="72"/>
      <c r="U62" s="71"/>
      <c r="V62" s="72"/>
      <c r="W62" s="71">
        <f t="shared" si="19"/>
        <v>0</v>
      </c>
      <c r="X62" s="72">
        <f t="shared" si="19"/>
        <v>0</v>
      </c>
    </row>
    <row r="63" spans="1:24">
      <c r="A63" s="78"/>
      <c r="B63" s="33" t="s">
        <v>85</v>
      </c>
      <c r="C63" s="46" t="s">
        <v>53</v>
      </c>
      <c r="D63" s="34" t="s">
        <v>54</v>
      </c>
      <c r="E63" s="71"/>
      <c r="F63" s="72">
        <f t="shared" si="20"/>
        <v>0</v>
      </c>
      <c r="G63" s="71"/>
      <c r="H63" s="72">
        <f t="shared" si="21"/>
        <v>0</v>
      </c>
      <c r="I63" s="71">
        <f t="shared" si="22"/>
        <v>0</v>
      </c>
      <c r="J63" s="72">
        <f t="shared" si="23"/>
        <v>0</v>
      </c>
      <c r="K63" s="71"/>
      <c r="L63" s="72">
        <f t="shared" si="24"/>
        <v>0</v>
      </c>
      <c r="M63" s="71">
        <f t="shared" si="25"/>
        <v>0</v>
      </c>
      <c r="N63" s="72">
        <f t="shared" si="26"/>
        <v>0</v>
      </c>
      <c r="O63" s="71"/>
      <c r="P63" s="72">
        <f t="shared" si="27"/>
        <v>0</v>
      </c>
      <c r="Q63" s="71">
        <f t="shared" si="28"/>
        <v>0</v>
      </c>
      <c r="R63" s="72">
        <f t="shared" si="27"/>
        <v>0</v>
      </c>
      <c r="S63" s="71"/>
      <c r="T63" s="72"/>
      <c r="U63" s="71"/>
      <c r="V63" s="72"/>
      <c r="W63" s="71">
        <f t="shared" si="19"/>
        <v>0</v>
      </c>
      <c r="X63" s="72">
        <f t="shared" si="19"/>
        <v>0</v>
      </c>
    </row>
    <row r="64" spans="1:24">
      <c r="A64" s="101" t="s">
        <v>86</v>
      </c>
      <c r="B64" s="102"/>
      <c r="C64" s="102"/>
      <c r="D64" s="103"/>
      <c r="E64" s="104">
        <f t="shared" ref="E64:W64" si="29">SUM(E49,E52:E63)</f>
        <v>4982.8153252671927</v>
      </c>
      <c r="F64" s="105">
        <f t="shared" si="29"/>
        <v>0.27952793711328588</v>
      </c>
      <c r="G64" s="104">
        <f t="shared" si="29"/>
        <v>27386.033580027048</v>
      </c>
      <c r="H64" s="105">
        <f t="shared" si="29"/>
        <v>0.1992519610814994</v>
      </c>
      <c r="I64" s="104">
        <f t="shared" si="29"/>
        <v>32368.848905294239</v>
      </c>
      <c r="J64" s="105">
        <f t="shared" si="29"/>
        <v>0.20846806685302385</v>
      </c>
      <c r="K64" s="104">
        <f t="shared" si="29"/>
        <v>30944.526809656574</v>
      </c>
      <c r="L64" s="105">
        <f t="shared" si="29"/>
        <v>0.23988005278803548</v>
      </c>
      <c r="M64" s="104">
        <f t="shared" si="29"/>
        <v>63313.375714950809</v>
      </c>
      <c r="N64" s="105">
        <f t="shared" si="29"/>
        <v>0.22272263242026671</v>
      </c>
      <c r="O64" s="104">
        <f t="shared" si="29"/>
        <v>84419.498476124223</v>
      </c>
      <c r="P64" s="105">
        <f t="shared" si="29"/>
        <v>0.34559687161668562</v>
      </c>
      <c r="Q64" s="104">
        <f t="shared" si="29"/>
        <v>84419.498476124223</v>
      </c>
      <c r="R64" s="105">
        <f t="shared" si="29"/>
        <v>0.34559687161668562</v>
      </c>
      <c r="S64" s="104">
        <f t="shared" si="29"/>
        <v>5506.8</v>
      </c>
      <c r="T64" s="105">
        <f t="shared" si="29"/>
        <v>0</v>
      </c>
      <c r="U64" s="104">
        <f t="shared" si="29"/>
        <v>0</v>
      </c>
      <c r="V64" s="105">
        <f t="shared" si="29"/>
        <v>0</v>
      </c>
      <c r="W64" s="104">
        <f t="shared" si="29"/>
        <v>89926.298476124226</v>
      </c>
      <c r="X64" s="105">
        <f>SUM(X49,X52:X63)</f>
        <v>0.34559687161668562</v>
      </c>
    </row>
    <row r="65" spans="1:24">
      <c r="A65" s="78"/>
      <c r="B65" s="33"/>
      <c r="C65" s="33"/>
      <c r="D65" s="34"/>
      <c r="E65" s="49"/>
      <c r="F65" s="95">
        <f>+E64/F$12/1000-F64</f>
        <v>0</v>
      </c>
      <c r="G65" s="61"/>
      <c r="H65" s="95">
        <f>+G64/H$12/1000-H64</f>
        <v>0</v>
      </c>
      <c r="I65" s="61"/>
      <c r="J65" s="95">
        <f>+I64/J$12/1000-J64</f>
        <v>0</v>
      </c>
      <c r="K65" s="61"/>
      <c r="L65" s="95">
        <f>+K64/L$12/1000-L64</f>
        <v>0</v>
      </c>
      <c r="M65" s="61"/>
      <c r="N65" s="95">
        <f>+M64/N$12/1000-N64</f>
        <v>0</v>
      </c>
      <c r="O65" s="61"/>
      <c r="P65" s="95">
        <f>+O64/P$12/1000-P64+P50</f>
        <v>1.0234868508263162E-16</v>
      </c>
      <c r="Q65" s="61"/>
      <c r="R65" s="95"/>
      <c r="S65" s="71"/>
      <c r="T65" s="72"/>
      <c r="U65" s="71"/>
      <c r="V65" s="72"/>
      <c r="W65" s="61"/>
      <c r="X65" s="95"/>
    </row>
    <row r="66" spans="1:24">
      <c r="A66" s="78" t="s">
        <v>87</v>
      </c>
      <c r="B66" s="33"/>
      <c r="C66" s="33"/>
      <c r="D66" s="34"/>
      <c r="E66" s="71"/>
      <c r="F66" s="72"/>
      <c r="G66" s="71"/>
      <c r="H66" s="72"/>
      <c r="I66" s="71"/>
      <c r="J66" s="72"/>
      <c r="K66" s="71"/>
      <c r="L66" s="72"/>
      <c r="M66" s="71"/>
      <c r="N66" s="72"/>
      <c r="O66" s="71"/>
      <c r="P66" s="72"/>
      <c r="Q66" s="71"/>
      <c r="R66" s="72"/>
      <c r="S66" s="71"/>
      <c r="T66" s="72"/>
      <c r="U66" s="71"/>
      <c r="V66" s="72"/>
      <c r="W66" s="71"/>
      <c r="X66" s="72"/>
    </row>
    <row r="67" spans="1:24">
      <c r="A67" s="78"/>
      <c r="B67" s="33" t="s">
        <v>88</v>
      </c>
      <c r="C67" s="46" t="s">
        <v>34</v>
      </c>
      <c r="D67" s="34" t="s">
        <v>89</v>
      </c>
      <c r="E67" s="71">
        <f>+SUM(E68:E69)</f>
        <v>4003.15112</v>
      </c>
      <c r="F67" s="72">
        <f>SUM(F68:F69)</f>
        <v>0.22457034858427882</v>
      </c>
      <c r="G67" s="71">
        <f>+SUM(G68:G69)</f>
        <v>18653.820487500001</v>
      </c>
      <c r="H67" s="72">
        <f>SUM(H68:H69)</f>
        <v>0.13571919069387758</v>
      </c>
      <c r="I67" s="71">
        <f>+SUM(I68:I69)</f>
        <v>22656.971607500003</v>
      </c>
      <c r="J67" s="72">
        <f>SUM(J68:J69)</f>
        <v>0.14591977260540892</v>
      </c>
      <c r="K67" s="71">
        <f>+SUM(K68:K69)</f>
        <v>16265.483963260876</v>
      </c>
      <c r="L67" s="72">
        <f>SUM(L68:L69)</f>
        <v>0.12608902297101454</v>
      </c>
      <c r="M67" s="71">
        <f>+SUM(M68:M69)</f>
        <v>38922.455570760874</v>
      </c>
      <c r="N67" s="72">
        <f>SUM(N68:N69)</f>
        <v>0.13692070067484433</v>
      </c>
      <c r="O67" s="71">
        <f>+SUM(O68:O69)</f>
        <v>1021.1633769333332</v>
      </c>
      <c r="P67" s="72">
        <f>SUM(P68:P69)</f>
        <v>3.9960185847576048E-3</v>
      </c>
      <c r="Q67" s="71">
        <f>+SUM(Q68:Q69)</f>
        <v>1021.1633769333332</v>
      </c>
      <c r="R67" s="72">
        <f>SUM(R68:R69)</f>
        <v>3.9960185847576048E-3</v>
      </c>
      <c r="S67" s="71">
        <f>SUM(S68:S69)</f>
        <v>417</v>
      </c>
      <c r="T67" s="72"/>
      <c r="U67" s="71"/>
      <c r="V67" s="72"/>
      <c r="W67" s="71">
        <f>+SUM(W68:W69)</f>
        <v>1438.1633769333332</v>
      </c>
      <c r="X67" s="72">
        <f>SUM(X68:X69)</f>
        <v>3.9960185847576048E-3</v>
      </c>
    </row>
    <row r="68" spans="1:24" ht="15" hidden="1" customHeight="1" outlineLevel="1">
      <c r="A68" s="78"/>
      <c r="B68" s="106" t="s">
        <v>90</v>
      </c>
      <c r="C68" s="46" t="s">
        <v>53</v>
      </c>
      <c r="D68" s="34" t="s">
        <v>54</v>
      </c>
      <c r="E68" s="71">
        <v>1554.245715</v>
      </c>
      <c r="F68" s="72">
        <f>+E68/F$12/1000</f>
        <v>8.7190688420269197E-2</v>
      </c>
      <c r="G68" s="71">
        <v>4059.0705850000013</v>
      </c>
      <c r="H68" s="72">
        <f>+G68/H$12/1000</f>
        <v>2.953249041582021E-2</v>
      </c>
      <c r="I68" s="71">
        <f>SUM(E68,G68)</f>
        <v>5613.3163000000013</v>
      </c>
      <c r="J68" s="72">
        <f>+I68/J$12/1000</f>
        <v>3.6151955885714918E-2</v>
      </c>
      <c r="K68" s="71">
        <v>0</v>
      </c>
      <c r="L68" s="72">
        <f>+K68/L$12/1000</f>
        <v>0</v>
      </c>
      <c r="M68" s="71">
        <f t="shared" ref="M68:M71" si="30">SUM(I68,K68)</f>
        <v>5613.3163000000013</v>
      </c>
      <c r="N68" s="72">
        <f>+M68/N$12/1000</f>
        <v>1.9746421176029112E-2</v>
      </c>
      <c r="O68" s="71">
        <v>1021.1633769333332</v>
      </c>
      <c r="P68" s="72">
        <f>+O68/P$12/1000</f>
        <v>3.9960185847576048E-3</v>
      </c>
      <c r="Q68" s="71">
        <f t="shared" ref="Q68:Q71" si="31">O68</f>
        <v>1021.1633769333332</v>
      </c>
      <c r="R68" s="72">
        <f>+Q68/R$12/1000</f>
        <v>3.9960185847576048E-3</v>
      </c>
      <c r="S68" s="71"/>
      <c r="T68" s="72"/>
      <c r="U68" s="71"/>
      <c r="V68" s="72"/>
      <c r="W68" s="71">
        <f t="shared" ref="W68:X71" si="32">Q68+S68+U68</f>
        <v>1021.1633769333332</v>
      </c>
      <c r="X68" s="72">
        <f t="shared" si="32"/>
        <v>3.9960185847576048E-3</v>
      </c>
    </row>
    <row r="69" spans="1:24" ht="15" hidden="1" customHeight="1" outlineLevel="1">
      <c r="A69" s="78"/>
      <c r="B69" s="106" t="s">
        <v>91</v>
      </c>
      <c r="C69" s="46" t="s">
        <v>53</v>
      </c>
      <c r="D69" s="34" t="s">
        <v>54</v>
      </c>
      <c r="E69" s="71">
        <f>2309.289565+139.61584</f>
        <v>2448.905405</v>
      </c>
      <c r="F69" s="72">
        <f>+E69/F$12/1000</f>
        <v>0.13737966016400963</v>
      </c>
      <c r="G69" s="71">
        <f>9349.5130825+5245.23682</f>
        <v>14594.7499025</v>
      </c>
      <c r="H69" s="72">
        <f>+G69/H$12/1000</f>
        <v>0.10618670027805738</v>
      </c>
      <c r="I69" s="71">
        <f>SUM(E69,G69)</f>
        <v>17043.655307500001</v>
      </c>
      <c r="J69" s="72">
        <f>+I69/J$12/1000</f>
        <v>0.109767816719694</v>
      </c>
      <c r="K69" s="71">
        <v>16265.483963260876</v>
      </c>
      <c r="L69" s="72">
        <f>+K69/L$12/1000</f>
        <v>0.12608902297101454</v>
      </c>
      <c r="M69" s="71">
        <f t="shared" si="30"/>
        <v>33309.139270760876</v>
      </c>
      <c r="N69" s="72">
        <f>+M69/N$12/1000</f>
        <v>0.11717427949881522</v>
      </c>
      <c r="O69" s="71"/>
      <c r="P69" s="72">
        <f>+O69/P$12/1000</f>
        <v>0</v>
      </c>
      <c r="Q69" s="71">
        <f t="shared" si="31"/>
        <v>0</v>
      </c>
      <c r="R69" s="72">
        <f>+Q69/R$12/1000</f>
        <v>0</v>
      </c>
      <c r="S69" s="71">
        <v>417</v>
      </c>
      <c r="T69" s="72"/>
      <c r="U69" s="71"/>
      <c r="V69" s="72"/>
      <c r="W69" s="71">
        <f t="shared" si="32"/>
        <v>417</v>
      </c>
      <c r="X69" s="72">
        <f t="shared" si="32"/>
        <v>0</v>
      </c>
    </row>
    <row r="70" spans="1:24" collapsed="1">
      <c r="A70" s="78"/>
      <c r="B70" s="96" t="s">
        <v>92</v>
      </c>
      <c r="C70" s="46" t="s">
        <v>53</v>
      </c>
      <c r="D70" s="34" t="s">
        <v>54</v>
      </c>
      <c r="E70" s="71">
        <v>1982.6229931174362</v>
      </c>
      <c r="F70" s="72">
        <f>+E70/F$12/1000</f>
        <v>0.11122196572873544</v>
      </c>
      <c r="G70" s="71">
        <v>4703.9735300000002</v>
      </c>
      <c r="H70" s="72">
        <f>+G70/H$12/1000</f>
        <v>3.4224596562662864E-2</v>
      </c>
      <c r="I70" s="71">
        <f>SUM(E70,G70)</f>
        <v>6686.5965231174359</v>
      </c>
      <c r="J70" s="72">
        <f>+I70/J$12/1000</f>
        <v>4.3064300960435141E-2</v>
      </c>
      <c r="K70" s="71">
        <v>5197.1553239172245</v>
      </c>
      <c r="L70" s="72">
        <f>+K70/L$12/1000</f>
        <v>4.0288025766800191E-2</v>
      </c>
      <c r="M70" s="71">
        <f t="shared" si="30"/>
        <v>11883.75184703466</v>
      </c>
      <c r="N70" s="72">
        <f>+M70/N$12/1000</f>
        <v>4.1804444392873473E-2</v>
      </c>
      <c r="O70" s="71"/>
      <c r="P70" s="72">
        <f>+O70/P$12/1000</f>
        <v>0</v>
      </c>
      <c r="Q70" s="71">
        <f t="shared" si="31"/>
        <v>0</v>
      </c>
      <c r="R70" s="72">
        <f>+Q70/R$12/1000</f>
        <v>0</v>
      </c>
      <c r="S70" s="71"/>
      <c r="T70" s="72"/>
      <c r="U70" s="71"/>
      <c r="V70" s="72"/>
      <c r="W70" s="71">
        <f t="shared" si="32"/>
        <v>0</v>
      </c>
      <c r="X70" s="72">
        <f t="shared" si="32"/>
        <v>0</v>
      </c>
    </row>
    <row r="71" spans="1:24">
      <c r="A71" s="78"/>
      <c r="B71" s="96" t="s">
        <v>93</v>
      </c>
      <c r="C71" s="46" t="s">
        <v>53</v>
      </c>
      <c r="D71" s="34" t="s">
        <v>54</v>
      </c>
      <c r="E71" s="71">
        <v>710.81472384615404</v>
      </c>
      <c r="F71" s="72">
        <f>+E71/F$12/1000</f>
        <v>3.9875564406114332E-2</v>
      </c>
      <c r="G71" s="71">
        <v>2911.6982499999999</v>
      </c>
      <c r="H71" s="72">
        <f t="shared" ref="H71:H93" si="33">+G71/H$12/1000</f>
        <v>2.1184578799800655E-2</v>
      </c>
      <c r="I71" s="71">
        <f>SUM(E71,G71)</f>
        <v>3622.5129738461537</v>
      </c>
      <c r="J71" s="72">
        <f t="shared" ref="J71" si="34">+I71/J$12/1000</f>
        <v>2.3330402604591526E-2</v>
      </c>
      <c r="K71" s="71">
        <v>1639.7253672284196</v>
      </c>
      <c r="L71" s="72">
        <f t="shared" ref="L71" si="35">+K71/L$12/1000</f>
        <v>1.2711049358359842E-2</v>
      </c>
      <c r="M71" s="71">
        <f t="shared" si="30"/>
        <v>5262.2383410745733</v>
      </c>
      <c r="N71" s="72">
        <f t="shared" ref="N71" si="36">+M71/N$12/1000</f>
        <v>1.8511405568132199E-2</v>
      </c>
      <c r="O71" s="71">
        <v>1242.2687808365702</v>
      </c>
      <c r="P71" s="72">
        <f t="shared" ref="P71:R71" si="37">+O71/P$12/1000</f>
        <v>4.8612486969469432E-3</v>
      </c>
      <c r="Q71" s="71">
        <f t="shared" si="31"/>
        <v>1242.2687808365702</v>
      </c>
      <c r="R71" s="72">
        <f t="shared" si="37"/>
        <v>4.8612486969469432E-3</v>
      </c>
      <c r="S71" s="71"/>
      <c r="T71" s="72"/>
      <c r="U71" s="71"/>
      <c r="V71" s="72"/>
      <c r="W71" s="71">
        <f t="shared" si="32"/>
        <v>1242.2687808365702</v>
      </c>
      <c r="X71" s="72">
        <f t="shared" si="32"/>
        <v>4.8612486969469432E-3</v>
      </c>
    </row>
    <row r="72" spans="1:24">
      <c r="A72" s="78"/>
      <c r="B72" s="96" t="s">
        <v>94</v>
      </c>
      <c r="C72" s="46" t="s">
        <v>34</v>
      </c>
      <c r="D72" s="34" t="s">
        <v>89</v>
      </c>
      <c r="E72" s="71">
        <f t="shared" ref="E72:Q72" si="38">+SUM(E73:E75)</f>
        <v>2567.4907945833334</v>
      </c>
      <c r="F72" s="72">
        <f t="shared" si="38"/>
        <v>0.14403211006595878</v>
      </c>
      <c r="G72" s="71">
        <f t="shared" si="38"/>
        <v>6478.8351022973966</v>
      </c>
      <c r="H72" s="72">
        <f t="shared" si="38"/>
        <v>4.7137917796095032E-2</v>
      </c>
      <c r="I72" s="71">
        <f t="shared" si="38"/>
        <v>9046.3258968807295</v>
      </c>
      <c r="J72" s="72">
        <f t="shared" si="38"/>
        <v>5.8261882508176585E-2</v>
      </c>
      <c r="K72" s="71">
        <f t="shared" si="38"/>
        <v>7888.5990154759129</v>
      </c>
      <c r="L72" s="72">
        <f t="shared" si="38"/>
        <v>6.1151930352526446E-2</v>
      </c>
      <c r="M72" s="71">
        <f t="shared" si="38"/>
        <v>16934.924912356644</v>
      </c>
      <c r="N72" s="72">
        <f t="shared" si="38"/>
        <v>5.9573368403241789E-2</v>
      </c>
      <c r="O72" s="71">
        <f t="shared" si="38"/>
        <v>3214.6371262537418</v>
      </c>
      <c r="P72" s="72">
        <f t="shared" si="38"/>
        <v>1.2579524481517288E-2</v>
      </c>
      <c r="Q72" s="71">
        <f t="shared" si="38"/>
        <v>3214.6371262537418</v>
      </c>
      <c r="R72" s="72">
        <f t="shared" ref="R72" si="39">+SUM(R73:R75)</f>
        <v>1.2579524481517288E-2</v>
      </c>
      <c r="S72" s="71">
        <f>SUM(S73:S75)</f>
        <v>5022</v>
      </c>
      <c r="T72" s="72"/>
      <c r="U72" s="71"/>
      <c r="V72" s="72"/>
      <c r="W72" s="71">
        <f t="shared" ref="W72:X72" si="40">+SUM(W73:W75)</f>
        <v>8236.6371262537414</v>
      </c>
      <c r="X72" s="72">
        <f t="shared" si="40"/>
        <v>1.2579524481517288E-2</v>
      </c>
    </row>
    <row r="73" spans="1:24" ht="15" hidden="1" customHeight="1" outlineLevel="1">
      <c r="A73" s="78"/>
      <c r="B73" s="97" t="s">
        <v>95</v>
      </c>
      <c r="C73" s="46" t="s">
        <v>53</v>
      </c>
      <c r="D73" s="34" t="s">
        <v>54</v>
      </c>
      <c r="E73" s="71">
        <v>745.52008166666678</v>
      </c>
      <c r="F73" s="72">
        <f t="shared" ref="F73:F81" si="41">+E73/F$12/1000</f>
        <v>4.182247924141904E-2</v>
      </c>
      <c r="G73" s="71">
        <v>2980.5234550538071</v>
      </c>
      <c r="H73" s="72">
        <f t="shared" si="33"/>
        <v>2.1685328827683804E-2</v>
      </c>
      <c r="I73" s="71">
        <f t="shared" ref="I73:I81" si="42">SUM(E73,G73)</f>
        <v>3726.0435367204736</v>
      </c>
      <c r="J73" s="72">
        <f t="shared" ref="J73:J81" si="43">+I73/J$12/1000</f>
        <v>2.3997179985701451E-2</v>
      </c>
      <c r="K73" s="71">
        <v>4197.2440403487089</v>
      </c>
      <c r="L73" s="72">
        <f t="shared" ref="L73:L81" si="44">+K73/L$12/1000</f>
        <v>3.2536775506579137E-2</v>
      </c>
      <c r="M73" s="71">
        <f t="shared" ref="M73:M81" si="45">SUM(I73,K73)</f>
        <v>7923.2875770691826</v>
      </c>
      <c r="N73" s="72">
        <f t="shared" ref="N73:N81" si="46">+M73/N$12/1000</f>
        <v>2.7872395787781862E-2</v>
      </c>
      <c r="O73" s="71">
        <v>3214.6371262537418</v>
      </c>
      <c r="P73" s="72">
        <f t="shared" ref="P73:R81" si="47">+O73/P$12/1000</f>
        <v>1.2579524481517288E-2</v>
      </c>
      <c r="Q73" s="71">
        <f t="shared" ref="Q73:Q81" si="48">O73</f>
        <v>3214.6371262537418</v>
      </c>
      <c r="R73" s="72">
        <f t="shared" si="47"/>
        <v>1.2579524481517288E-2</v>
      </c>
      <c r="S73" s="71"/>
      <c r="T73" s="72"/>
      <c r="U73" s="71"/>
      <c r="V73" s="72"/>
      <c r="W73" s="71">
        <f t="shared" ref="W73:X81" si="49">Q73+S73+U73</f>
        <v>3214.6371262537418</v>
      </c>
      <c r="X73" s="72">
        <f t="shared" si="49"/>
        <v>1.2579524481517288E-2</v>
      </c>
    </row>
    <row r="74" spans="1:24" ht="15" hidden="1" customHeight="1" outlineLevel="1">
      <c r="A74" s="78"/>
      <c r="B74" s="97" t="s">
        <v>96</v>
      </c>
      <c r="C74" s="46" t="s">
        <v>53</v>
      </c>
      <c r="D74" s="34" t="s">
        <v>54</v>
      </c>
      <c r="E74" s="71">
        <v>1687.0000295833331</v>
      </c>
      <c r="F74" s="72">
        <f t="shared" si="41"/>
        <v>9.4637992258762849E-2</v>
      </c>
      <c r="G74" s="71">
        <v>2360.7287841666671</v>
      </c>
      <c r="H74" s="72">
        <f t="shared" si="33"/>
        <v>1.7175902397556599E-2</v>
      </c>
      <c r="I74" s="71">
        <f t="shared" si="42"/>
        <v>4047.72881375</v>
      </c>
      <c r="J74" s="72">
        <f t="shared" si="43"/>
        <v>2.6068959184079317E-2</v>
      </c>
      <c r="K74" s="71">
        <v>3691.3549751272035</v>
      </c>
      <c r="L74" s="72">
        <f t="shared" si="44"/>
        <v>2.8615154845947312E-2</v>
      </c>
      <c r="M74" s="71">
        <f t="shared" si="45"/>
        <v>7739.0837888772039</v>
      </c>
      <c r="N74" s="72">
        <f t="shared" si="46"/>
        <v>2.7224407078530102E-2</v>
      </c>
      <c r="O74" s="71"/>
      <c r="P74" s="72">
        <f t="shared" si="47"/>
        <v>0</v>
      </c>
      <c r="Q74" s="71">
        <f t="shared" si="48"/>
        <v>0</v>
      </c>
      <c r="R74" s="72">
        <f t="shared" si="47"/>
        <v>0</v>
      </c>
      <c r="S74" s="71">
        <f>4438+584</f>
        <v>5022</v>
      </c>
      <c r="T74" s="72"/>
      <c r="U74" s="71"/>
      <c r="V74" s="72"/>
      <c r="W74" s="71">
        <f t="shared" si="49"/>
        <v>5022</v>
      </c>
      <c r="X74" s="72">
        <f t="shared" si="49"/>
        <v>0</v>
      </c>
    </row>
    <row r="75" spans="1:24" ht="15" hidden="1" customHeight="1" outlineLevel="1">
      <c r="A75" s="78"/>
      <c r="B75" s="97" t="s">
        <v>97</v>
      </c>
      <c r="C75" s="46" t="s">
        <v>53</v>
      </c>
      <c r="D75" s="34" t="s">
        <v>54</v>
      </c>
      <c r="E75" s="71">
        <v>134.97068333333334</v>
      </c>
      <c r="F75" s="72">
        <f t="shared" si="41"/>
        <v>7.571638565776897E-3</v>
      </c>
      <c r="G75" s="71">
        <v>1137.5828630769231</v>
      </c>
      <c r="H75" s="72">
        <f t="shared" si="33"/>
        <v>8.2766865708546276E-3</v>
      </c>
      <c r="I75" s="71">
        <f t="shared" si="42"/>
        <v>1272.5535464102563</v>
      </c>
      <c r="J75" s="72">
        <f t="shared" si="43"/>
        <v>8.1957433383958167E-3</v>
      </c>
      <c r="K75" s="71">
        <v>0</v>
      </c>
      <c r="L75" s="72">
        <f t="shared" si="44"/>
        <v>0</v>
      </c>
      <c r="M75" s="71">
        <f t="shared" si="45"/>
        <v>1272.5535464102563</v>
      </c>
      <c r="N75" s="72">
        <f t="shared" si="46"/>
        <v>4.4765655369298227E-3</v>
      </c>
      <c r="O75" s="71"/>
      <c r="P75" s="72">
        <f t="shared" si="47"/>
        <v>0</v>
      </c>
      <c r="Q75" s="71">
        <f t="shared" si="48"/>
        <v>0</v>
      </c>
      <c r="R75" s="72">
        <f t="shared" si="47"/>
        <v>0</v>
      </c>
      <c r="S75" s="71"/>
      <c r="T75" s="72"/>
      <c r="U75" s="71"/>
      <c r="V75" s="72"/>
      <c r="W75" s="71">
        <f t="shared" si="49"/>
        <v>0</v>
      </c>
      <c r="X75" s="72">
        <f t="shared" si="49"/>
        <v>0</v>
      </c>
    </row>
    <row r="76" spans="1:24" collapsed="1">
      <c r="A76" s="78"/>
      <c r="B76" s="33" t="s">
        <v>98</v>
      </c>
      <c r="C76" s="46" t="s">
        <v>53</v>
      </c>
      <c r="D76" s="34" t="s">
        <v>54</v>
      </c>
      <c r="E76" s="71">
        <v>329.38967114814807</v>
      </c>
      <c r="F76" s="72">
        <f t="shared" si="41"/>
        <v>1.8478231536210549E-2</v>
      </c>
      <c r="G76" s="71">
        <v>1295.6336136111111</v>
      </c>
      <c r="H76" s="72">
        <f t="shared" si="33"/>
        <v>9.426612933951882E-3</v>
      </c>
      <c r="I76" s="71">
        <f t="shared" si="42"/>
        <v>1625.0232847592592</v>
      </c>
      <c r="J76" s="72">
        <f t="shared" si="43"/>
        <v>1.0465786526919261E-2</v>
      </c>
      <c r="K76" s="71">
        <v>400.68369504638986</v>
      </c>
      <c r="L76" s="72">
        <f t="shared" si="44"/>
        <v>3.1060751553983711E-3</v>
      </c>
      <c r="M76" s="71">
        <f t="shared" si="45"/>
        <v>2025.7069798056491</v>
      </c>
      <c r="N76" s="72">
        <f t="shared" si="46"/>
        <v>7.1259948780125282E-3</v>
      </c>
      <c r="O76" s="71">
        <v>1115.8982000000001</v>
      </c>
      <c r="P76" s="72">
        <f t="shared" si="47"/>
        <v>4.3667350853189429E-3</v>
      </c>
      <c r="Q76" s="71">
        <f t="shared" si="48"/>
        <v>1115.8982000000001</v>
      </c>
      <c r="R76" s="72">
        <f t="shared" si="47"/>
        <v>4.3667350853189429E-3</v>
      </c>
      <c r="S76" s="71"/>
      <c r="T76" s="72"/>
      <c r="U76" s="71"/>
      <c r="V76" s="72"/>
      <c r="W76" s="71">
        <f t="shared" si="49"/>
        <v>1115.8982000000001</v>
      </c>
      <c r="X76" s="72">
        <f t="shared" si="49"/>
        <v>4.3667350853189429E-3</v>
      </c>
    </row>
    <row r="77" spans="1:24">
      <c r="A77" s="78"/>
      <c r="B77" s="33" t="s">
        <v>99</v>
      </c>
      <c r="C77" s="46" t="s">
        <v>53</v>
      </c>
      <c r="D77" s="34" t="s">
        <v>54</v>
      </c>
      <c r="E77" s="71"/>
      <c r="F77" s="72">
        <f t="shared" si="41"/>
        <v>0</v>
      </c>
      <c r="G77" s="71"/>
      <c r="H77" s="72">
        <f t="shared" si="33"/>
        <v>0</v>
      </c>
      <c r="I77" s="71">
        <f t="shared" si="42"/>
        <v>0</v>
      </c>
      <c r="J77" s="72">
        <f t="shared" si="43"/>
        <v>0</v>
      </c>
      <c r="K77" s="71"/>
      <c r="L77" s="72">
        <f t="shared" si="44"/>
        <v>0</v>
      </c>
      <c r="M77" s="71">
        <f t="shared" si="45"/>
        <v>0</v>
      </c>
      <c r="N77" s="72">
        <f t="shared" si="46"/>
        <v>0</v>
      </c>
      <c r="O77" s="71"/>
      <c r="P77" s="72">
        <f t="shared" si="47"/>
        <v>0</v>
      </c>
      <c r="Q77" s="71">
        <f t="shared" si="48"/>
        <v>0</v>
      </c>
      <c r="R77" s="72">
        <f t="shared" si="47"/>
        <v>0</v>
      </c>
      <c r="S77" s="71"/>
      <c r="T77" s="72"/>
      <c r="U77" s="71"/>
      <c r="V77" s="72"/>
      <c r="W77" s="71">
        <f t="shared" si="49"/>
        <v>0</v>
      </c>
      <c r="X77" s="72">
        <f t="shared" si="49"/>
        <v>0</v>
      </c>
    </row>
    <row r="78" spans="1:24">
      <c r="A78" s="78"/>
      <c r="B78" s="33" t="s">
        <v>100</v>
      </c>
      <c r="C78" s="46" t="s">
        <v>53</v>
      </c>
      <c r="D78" s="34" t="s">
        <v>54</v>
      </c>
      <c r="E78" s="71">
        <v>91.239032995740018</v>
      </c>
      <c r="F78" s="72">
        <f t="shared" si="41"/>
        <v>5.1183632169114444E-3</v>
      </c>
      <c r="G78" s="71">
        <v>312.31373250000001</v>
      </c>
      <c r="H78" s="72">
        <f t="shared" si="33"/>
        <v>2.272294141883045E-3</v>
      </c>
      <c r="I78" s="71">
        <f t="shared" si="42"/>
        <v>403.55276549574</v>
      </c>
      <c r="J78" s="72">
        <f t="shared" si="43"/>
        <v>2.5990378941874782E-3</v>
      </c>
      <c r="K78" s="71"/>
      <c r="L78" s="72">
        <f t="shared" si="44"/>
        <v>0</v>
      </c>
      <c r="M78" s="71">
        <f t="shared" si="45"/>
        <v>403.55276549574</v>
      </c>
      <c r="N78" s="72">
        <f t="shared" si="46"/>
        <v>1.4196105204743565E-3</v>
      </c>
      <c r="O78" s="71"/>
      <c r="P78" s="72">
        <f t="shared" si="47"/>
        <v>0</v>
      </c>
      <c r="Q78" s="71">
        <f t="shared" si="48"/>
        <v>0</v>
      </c>
      <c r="R78" s="72">
        <f t="shared" si="47"/>
        <v>0</v>
      </c>
      <c r="S78" s="71"/>
      <c r="T78" s="72"/>
      <c r="U78" s="71"/>
      <c r="V78" s="72"/>
      <c r="W78" s="71">
        <f t="shared" si="49"/>
        <v>0</v>
      </c>
      <c r="X78" s="72">
        <f t="shared" si="49"/>
        <v>0</v>
      </c>
    </row>
    <row r="79" spans="1:24">
      <c r="A79" s="78"/>
      <c r="B79" s="33" t="s">
        <v>101</v>
      </c>
      <c r="C79" s="46" t="s">
        <v>53</v>
      </c>
      <c r="D79" s="34" t="s">
        <v>54</v>
      </c>
      <c r="E79" s="71">
        <v>242.73676670232891</v>
      </c>
      <c r="F79" s="72">
        <f t="shared" si="41"/>
        <v>1.3617142765412956E-2</v>
      </c>
      <c r="G79" s="71">
        <v>298.02272080053666</v>
      </c>
      <c r="H79" s="72">
        <f t="shared" si="33"/>
        <v>2.1683173429561113E-3</v>
      </c>
      <c r="I79" s="71">
        <f t="shared" si="42"/>
        <v>540.75948750286557</v>
      </c>
      <c r="J79" s="72">
        <f t="shared" si="43"/>
        <v>3.4827029321304057E-3</v>
      </c>
      <c r="K79" s="71">
        <v>485.96020926436347</v>
      </c>
      <c r="L79" s="72">
        <f t="shared" si="44"/>
        <v>3.7671334051501042E-3</v>
      </c>
      <c r="M79" s="71">
        <f t="shared" si="45"/>
        <v>1026.7196967672289</v>
      </c>
      <c r="N79" s="72">
        <f t="shared" si="46"/>
        <v>3.6117757273165943E-3</v>
      </c>
      <c r="O79" s="71">
        <v>285.48721721221068</v>
      </c>
      <c r="P79" s="72">
        <f t="shared" si="47"/>
        <v>1.1171691537907584E-3</v>
      </c>
      <c r="Q79" s="71">
        <f t="shared" si="48"/>
        <v>285.48721721221068</v>
      </c>
      <c r="R79" s="72">
        <f t="shared" si="47"/>
        <v>1.1171691537907584E-3</v>
      </c>
      <c r="S79" s="71"/>
      <c r="T79" s="72"/>
      <c r="U79" s="71"/>
      <c r="V79" s="72"/>
      <c r="W79" s="71">
        <f t="shared" si="49"/>
        <v>285.48721721221068</v>
      </c>
      <c r="X79" s="72">
        <f t="shared" si="49"/>
        <v>1.1171691537907584E-3</v>
      </c>
    </row>
    <row r="80" spans="1:24">
      <c r="A80" s="78"/>
      <c r="B80" s="33" t="s">
        <v>102</v>
      </c>
      <c r="C80" s="46" t="s">
        <v>53</v>
      </c>
      <c r="D80" s="34" t="s">
        <v>54</v>
      </c>
      <c r="E80" s="71">
        <v>-1702.0097325000002</v>
      </c>
      <c r="F80" s="72">
        <f t="shared" si="41"/>
        <v>-9.5480012486103744E-2</v>
      </c>
      <c r="G80" s="71">
        <v>-261.04234249999996</v>
      </c>
      <c r="H80" s="72">
        <f t="shared" si="33"/>
        <v>-1.8992600193978894E-3</v>
      </c>
      <c r="I80" s="71">
        <f t="shared" si="42"/>
        <v>-1963.0520750000001</v>
      </c>
      <c r="J80" s="72">
        <f t="shared" si="43"/>
        <v>-1.2642824352648917E-2</v>
      </c>
      <c r="K80" s="71"/>
      <c r="L80" s="72">
        <f t="shared" si="44"/>
        <v>0</v>
      </c>
      <c r="M80" s="71">
        <f t="shared" si="45"/>
        <v>-1963.0520750000001</v>
      </c>
      <c r="N80" s="72">
        <f t="shared" si="46"/>
        <v>-6.9055886024858215E-3</v>
      </c>
      <c r="O80" s="71"/>
      <c r="P80" s="72">
        <f t="shared" si="47"/>
        <v>0</v>
      </c>
      <c r="Q80" s="71">
        <f t="shared" si="48"/>
        <v>0</v>
      </c>
      <c r="R80" s="72">
        <f t="shared" si="47"/>
        <v>0</v>
      </c>
      <c r="S80" s="71">
        <v>526</v>
      </c>
      <c r="T80" s="72"/>
      <c r="U80" s="71"/>
      <c r="V80" s="72"/>
      <c r="W80" s="71">
        <f t="shared" si="49"/>
        <v>526</v>
      </c>
      <c r="X80" s="72">
        <f t="shared" si="49"/>
        <v>0</v>
      </c>
    </row>
    <row r="81" spans="1:24">
      <c r="A81" s="78"/>
      <c r="B81" s="33" t="s">
        <v>103</v>
      </c>
      <c r="C81" s="46" t="s">
        <v>53</v>
      </c>
      <c r="D81" s="34" t="s">
        <v>54</v>
      </c>
      <c r="E81" s="71">
        <v>128.12259499999999</v>
      </c>
      <c r="F81" s="72">
        <f t="shared" si="41"/>
        <v>7.1874718086266942E-3</v>
      </c>
      <c r="G81" s="71">
        <v>111.244815</v>
      </c>
      <c r="H81" s="72">
        <f t="shared" si="33"/>
        <v>8.0938144927509095E-4</v>
      </c>
      <c r="I81" s="71">
        <f t="shared" si="42"/>
        <v>239.36741000000001</v>
      </c>
      <c r="J81" s="72">
        <f t="shared" si="43"/>
        <v>1.5416198881929803E-3</v>
      </c>
      <c r="K81" s="71"/>
      <c r="L81" s="72">
        <f t="shared" si="44"/>
        <v>0</v>
      </c>
      <c r="M81" s="71">
        <f t="shared" si="45"/>
        <v>239.36741000000001</v>
      </c>
      <c r="N81" s="72">
        <f t="shared" si="46"/>
        <v>8.4204228678067569E-4</v>
      </c>
      <c r="O81" s="71"/>
      <c r="P81" s="72">
        <f t="shared" si="47"/>
        <v>0</v>
      </c>
      <c r="Q81" s="71">
        <f t="shared" si="48"/>
        <v>0</v>
      </c>
      <c r="R81" s="72">
        <f t="shared" si="47"/>
        <v>0</v>
      </c>
      <c r="S81" s="71">
        <v>386</v>
      </c>
      <c r="T81" s="72"/>
      <c r="U81" s="71"/>
      <c r="V81" s="72"/>
      <c r="W81" s="71">
        <f t="shared" si="49"/>
        <v>386</v>
      </c>
      <c r="X81" s="72">
        <f t="shared" si="49"/>
        <v>0</v>
      </c>
    </row>
    <row r="82" spans="1:24">
      <c r="A82" s="78"/>
      <c r="B82" s="33" t="s">
        <v>104</v>
      </c>
      <c r="C82" s="46" t="s">
        <v>34</v>
      </c>
      <c r="D82" s="34" t="s">
        <v>89</v>
      </c>
      <c r="E82" s="71">
        <f t="shared" ref="E82:Q82" si="50">+SUM(E83:E93)</f>
        <v>724.23218839583171</v>
      </c>
      <c r="F82" s="72">
        <f t="shared" si="50"/>
        <v>4.0628262618276324E-2</v>
      </c>
      <c r="G82" s="71">
        <f t="shared" si="50"/>
        <v>1042.6966678801432</v>
      </c>
      <c r="H82" s="72">
        <f t="shared" si="50"/>
        <v>7.5863251712283255E-3</v>
      </c>
      <c r="I82" s="71">
        <f t="shared" si="50"/>
        <v>1766.9288562759748</v>
      </c>
      <c r="J82" s="72">
        <f t="shared" si="50"/>
        <v>1.1379713996392071E-2</v>
      </c>
      <c r="K82" s="71">
        <f t="shared" si="50"/>
        <v>1904.4073168448049</v>
      </c>
      <c r="L82" s="72">
        <f t="shared" si="50"/>
        <v>1.4762847417401588E-2</v>
      </c>
      <c r="M82" s="71">
        <f t="shared" si="50"/>
        <v>3671.3361731207797</v>
      </c>
      <c r="N82" s="72">
        <f t="shared" si="50"/>
        <v>1.2914959086348623E-2</v>
      </c>
      <c r="O82" s="71">
        <f t="shared" si="50"/>
        <v>1324.1610301091168</v>
      </c>
      <c r="P82" s="72">
        <f t="shared" si="50"/>
        <v>5.1817096118530826E-3</v>
      </c>
      <c r="Q82" s="71">
        <f t="shared" si="50"/>
        <v>1324.1610301091168</v>
      </c>
      <c r="R82" s="72">
        <f t="shared" ref="R82" si="51">+SUM(R83:R93)</f>
        <v>5.1817096118530826E-3</v>
      </c>
      <c r="S82" s="71">
        <f>SUM(S83:S93)</f>
        <v>1449</v>
      </c>
      <c r="T82" s="72"/>
      <c r="U82" s="71"/>
      <c r="V82" s="72"/>
      <c r="W82" s="71">
        <f t="shared" ref="W82:X82" si="52">+SUM(W83:W93)</f>
        <v>2773.1610301091168</v>
      </c>
      <c r="X82" s="72">
        <f t="shared" si="52"/>
        <v>5.1817096118530826E-3</v>
      </c>
    </row>
    <row r="83" spans="1:24" ht="15" customHeight="1" outlineLevel="1">
      <c r="A83" s="78"/>
      <c r="B83" s="106" t="s">
        <v>105</v>
      </c>
      <c r="C83" s="46" t="s">
        <v>53</v>
      </c>
      <c r="D83" s="34" t="s">
        <v>54</v>
      </c>
      <c r="E83" s="71">
        <v>123.50696801282052</v>
      </c>
      <c r="F83" s="72">
        <f t="shared" ref="F83:F93" si="53">+E83/F$12/1000</f>
        <v>6.9285425475585048E-3</v>
      </c>
      <c r="G83" s="71">
        <v>210.0331175</v>
      </c>
      <c r="H83" s="72">
        <f t="shared" si="33"/>
        <v>1.5281333250265683E-3</v>
      </c>
      <c r="I83" s="71">
        <f t="shared" ref="I83:I93" si="54">SUM(E83,G83)</f>
        <v>333.5400855128205</v>
      </c>
      <c r="J83" s="72">
        <f t="shared" ref="J83:J93" si="55">+I83/J$12/1000</f>
        <v>2.1481288089140933E-3</v>
      </c>
      <c r="K83" s="71"/>
      <c r="L83" s="72">
        <f t="shared" ref="L83:L93" si="56">+K83/L$12/1000</f>
        <v>0</v>
      </c>
      <c r="M83" s="71">
        <f t="shared" ref="M83:M93" si="57">SUM(I83,K83)</f>
        <v>333.5400855128205</v>
      </c>
      <c r="N83" s="72">
        <f t="shared" ref="N83:N93" si="58">+M83/N$12/1000</f>
        <v>1.1733211983128258E-3</v>
      </c>
      <c r="O83" s="71">
        <v>1324.1610301091168</v>
      </c>
      <c r="P83" s="72">
        <f t="shared" ref="P83:R93" si="59">+O83/P$12/1000</f>
        <v>5.1817096118530826E-3</v>
      </c>
      <c r="Q83" s="71">
        <f t="shared" ref="Q83:Q93" si="60">O83</f>
        <v>1324.1610301091168</v>
      </c>
      <c r="R83" s="72">
        <f t="shared" si="59"/>
        <v>5.1817096118530826E-3</v>
      </c>
      <c r="S83" s="71"/>
      <c r="T83" s="72"/>
      <c r="U83" s="71"/>
      <c r="V83" s="72"/>
      <c r="W83" s="71">
        <f t="shared" ref="W83:X93" si="61">Q83+S83+U83</f>
        <v>1324.1610301091168</v>
      </c>
      <c r="X83" s="72">
        <f t="shared" si="61"/>
        <v>5.1817096118530826E-3</v>
      </c>
    </row>
    <row r="84" spans="1:24" ht="15" customHeight="1" outlineLevel="1">
      <c r="A84" s="78"/>
      <c r="B84" s="106" t="s">
        <v>106</v>
      </c>
      <c r="C84" s="46" t="s">
        <v>53</v>
      </c>
      <c r="D84" s="34" t="s">
        <v>54</v>
      </c>
      <c r="E84" s="71"/>
      <c r="F84" s="72">
        <f t="shared" si="53"/>
        <v>0</v>
      </c>
      <c r="G84" s="71"/>
      <c r="H84" s="72">
        <f t="shared" si="33"/>
        <v>0</v>
      </c>
      <c r="I84" s="71">
        <f t="shared" si="54"/>
        <v>0</v>
      </c>
      <c r="J84" s="72">
        <f t="shared" si="55"/>
        <v>0</v>
      </c>
      <c r="K84" s="71"/>
      <c r="L84" s="72">
        <f t="shared" si="56"/>
        <v>0</v>
      </c>
      <c r="M84" s="71">
        <f t="shared" si="57"/>
        <v>0</v>
      </c>
      <c r="N84" s="72">
        <f t="shared" si="58"/>
        <v>0</v>
      </c>
      <c r="O84" s="71"/>
      <c r="P84" s="72">
        <f t="shared" si="59"/>
        <v>0</v>
      </c>
      <c r="Q84" s="71">
        <f t="shared" si="60"/>
        <v>0</v>
      </c>
      <c r="R84" s="72">
        <f t="shared" si="59"/>
        <v>0</v>
      </c>
      <c r="S84" s="71"/>
      <c r="T84" s="72"/>
      <c r="U84" s="71"/>
      <c r="V84" s="72"/>
      <c r="W84" s="71">
        <f t="shared" si="61"/>
        <v>0</v>
      </c>
      <c r="X84" s="72">
        <f t="shared" si="61"/>
        <v>0</v>
      </c>
    </row>
    <row r="85" spans="1:24" ht="15" customHeight="1" outlineLevel="1">
      <c r="A85" s="78"/>
      <c r="B85" s="106" t="s">
        <v>107</v>
      </c>
      <c r="C85" s="46" t="s">
        <v>53</v>
      </c>
      <c r="D85" s="34" t="s">
        <v>54</v>
      </c>
      <c r="E85" s="71">
        <v>165.72365255034055</v>
      </c>
      <c r="F85" s="72">
        <f t="shared" si="53"/>
        <v>9.2968307481456972E-3</v>
      </c>
      <c r="G85" s="71">
        <v>150.59487307692308</v>
      </c>
      <c r="H85" s="72">
        <f t="shared" si="33"/>
        <v>1.0956797997677319E-3</v>
      </c>
      <c r="I85" s="71">
        <f t="shared" si="54"/>
        <v>316.31852562726363</v>
      </c>
      <c r="J85" s="72">
        <f t="shared" si="55"/>
        <v>2.0372152170208577E-3</v>
      </c>
      <c r="K85" s="71"/>
      <c r="L85" s="72">
        <f t="shared" si="56"/>
        <v>0</v>
      </c>
      <c r="M85" s="71">
        <f t="shared" si="57"/>
        <v>316.31852562726363</v>
      </c>
      <c r="N85" s="72">
        <f t="shared" si="58"/>
        <v>1.1127395106554933E-3</v>
      </c>
      <c r="O85" s="71"/>
      <c r="P85" s="72">
        <f t="shared" si="59"/>
        <v>0</v>
      </c>
      <c r="Q85" s="71">
        <f t="shared" si="60"/>
        <v>0</v>
      </c>
      <c r="R85" s="72">
        <f t="shared" si="59"/>
        <v>0</v>
      </c>
      <c r="S85" s="71"/>
      <c r="T85" s="72"/>
      <c r="U85" s="71"/>
      <c r="V85" s="72"/>
      <c r="W85" s="71">
        <f t="shared" si="61"/>
        <v>0</v>
      </c>
      <c r="X85" s="72">
        <f t="shared" si="61"/>
        <v>0</v>
      </c>
    </row>
    <row r="86" spans="1:24" ht="15" customHeight="1" outlineLevel="1">
      <c r="A86" s="78"/>
      <c r="B86" s="106" t="s">
        <v>108</v>
      </c>
      <c r="C86" s="46" t="s">
        <v>53</v>
      </c>
      <c r="D86" s="34" t="s">
        <v>54</v>
      </c>
      <c r="E86" s="71"/>
      <c r="F86" s="72">
        <f t="shared" si="53"/>
        <v>0</v>
      </c>
      <c r="G86" s="71"/>
      <c r="H86" s="72">
        <f t="shared" si="33"/>
        <v>0</v>
      </c>
      <c r="I86" s="71">
        <f t="shared" si="54"/>
        <v>0</v>
      </c>
      <c r="J86" s="72">
        <f t="shared" si="55"/>
        <v>0</v>
      </c>
      <c r="K86" s="71"/>
      <c r="L86" s="72">
        <f t="shared" si="56"/>
        <v>0</v>
      </c>
      <c r="M86" s="71">
        <f t="shared" si="57"/>
        <v>0</v>
      </c>
      <c r="N86" s="72">
        <f t="shared" si="58"/>
        <v>0</v>
      </c>
      <c r="O86" s="71"/>
      <c r="P86" s="72">
        <f t="shared" si="59"/>
        <v>0</v>
      </c>
      <c r="Q86" s="71">
        <f t="shared" si="60"/>
        <v>0</v>
      </c>
      <c r="R86" s="72">
        <f t="shared" si="59"/>
        <v>0</v>
      </c>
      <c r="S86" s="71"/>
      <c r="T86" s="72"/>
      <c r="U86" s="71"/>
      <c r="V86" s="72"/>
      <c r="W86" s="71">
        <f t="shared" si="61"/>
        <v>0</v>
      </c>
      <c r="X86" s="72">
        <f t="shared" si="61"/>
        <v>0</v>
      </c>
    </row>
    <row r="87" spans="1:24" ht="15" customHeight="1" outlineLevel="1">
      <c r="A87" s="78"/>
      <c r="B87" s="106" t="s">
        <v>109</v>
      </c>
      <c r="C87" s="46" t="s">
        <v>53</v>
      </c>
      <c r="D87" s="34" t="s">
        <v>54</v>
      </c>
      <c r="E87" s="71"/>
      <c r="F87" s="72">
        <f t="shared" si="53"/>
        <v>0</v>
      </c>
      <c r="G87" s="71"/>
      <c r="H87" s="72">
        <f t="shared" si="33"/>
        <v>0</v>
      </c>
      <c r="I87" s="71">
        <f t="shared" si="54"/>
        <v>0</v>
      </c>
      <c r="J87" s="72">
        <f t="shared" si="55"/>
        <v>0</v>
      </c>
      <c r="K87" s="71"/>
      <c r="L87" s="72">
        <f t="shared" si="56"/>
        <v>0</v>
      </c>
      <c r="M87" s="71">
        <f t="shared" si="57"/>
        <v>0</v>
      </c>
      <c r="N87" s="72">
        <f t="shared" si="58"/>
        <v>0</v>
      </c>
      <c r="O87" s="71"/>
      <c r="P87" s="72">
        <f t="shared" si="59"/>
        <v>0</v>
      </c>
      <c r="Q87" s="71">
        <f t="shared" si="60"/>
        <v>0</v>
      </c>
      <c r="R87" s="72">
        <f t="shared" si="59"/>
        <v>0</v>
      </c>
      <c r="S87" s="71"/>
      <c r="T87" s="72"/>
      <c r="U87" s="71"/>
      <c r="V87" s="72"/>
      <c r="W87" s="71">
        <f t="shared" si="61"/>
        <v>0</v>
      </c>
      <c r="X87" s="72">
        <f t="shared" si="61"/>
        <v>0</v>
      </c>
    </row>
    <row r="88" spans="1:24" ht="15" customHeight="1" outlineLevel="1">
      <c r="A88" s="78"/>
      <c r="B88" s="106" t="s">
        <v>110</v>
      </c>
      <c r="C88" s="46" t="s">
        <v>53</v>
      </c>
      <c r="D88" s="34" t="s">
        <v>54</v>
      </c>
      <c r="E88" s="71"/>
      <c r="F88" s="72">
        <f t="shared" si="53"/>
        <v>0</v>
      </c>
      <c r="G88" s="71"/>
      <c r="H88" s="72">
        <f t="shared" si="33"/>
        <v>0</v>
      </c>
      <c r="I88" s="71">
        <f t="shared" si="54"/>
        <v>0</v>
      </c>
      <c r="J88" s="72">
        <f t="shared" si="55"/>
        <v>0</v>
      </c>
      <c r="K88" s="71"/>
      <c r="L88" s="72">
        <f t="shared" si="56"/>
        <v>0</v>
      </c>
      <c r="M88" s="71">
        <f t="shared" si="57"/>
        <v>0</v>
      </c>
      <c r="N88" s="72">
        <f t="shared" si="58"/>
        <v>0</v>
      </c>
      <c r="O88" s="71"/>
      <c r="P88" s="72">
        <f t="shared" si="59"/>
        <v>0</v>
      </c>
      <c r="Q88" s="71">
        <f t="shared" si="60"/>
        <v>0</v>
      </c>
      <c r="R88" s="72">
        <f t="shared" si="59"/>
        <v>0</v>
      </c>
      <c r="S88" s="71"/>
      <c r="T88" s="72"/>
      <c r="U88" s="71"/>
      <c r="V88" s="72"/>
      <c r="W88" s="71">
        <f t="shared" si="61"/>
        <v>0</v>
      </c>
      <c r="X88" s="72">
        <f t="shared" si="61"/>
        <v>0</v>
      </c>
    </row>
    <row r="89" spans="1:24" ht="15" customHeight="1" outlineLevel="1">
      <c r="A89" s="78"/>
      <c r="B89" s="106" t="s">
        <v>111</v>
      </c>
      <c r="C89" s="46" t="s">
        <v>53</v>
      </c>
      <c r="D89" s="34" t="s">
        <v>54</v>
      </c>
      <c r="E89" s="71">
        <v>96.641748332670531</v>
      </c>
      <c r="F89" s="72">
        <f t="shared" si="53"/>
        <v>5.4214468703000064E-3</v>
      </c>
      <c r="G89" s="71">
        <v>118.10547480322002</v>
      </c>
      <c r="H89" s="72">
        <f t="shared" si="33"/>
        <v>8.5929740063438425E-4</v>
      </c>
      <c r="I89" s="71">
        <f t="shared" si="54"/>
        <v>214.74722313589055</v>
      </c>
      <c r="J89" s="72">
        <f t="shared" si="55"/>
        <v>1.3830562402814342E-3</v>
      </c>
      <c r="K89" s="71"/>
      <c r="L89" s="72">
        <f t="shared" si="56"/>
        <v>0</v>
      </c>
      <c r="M89" s="71">
        <f t="shared" si="57"/>
        <v>214.74722313589055</v>
      </c>
      <c r="N89" s="72">
        <f t="shared" si="58"/>
        <v>7.5543384477087046E-4</v>
      </c>
      <c r="O89" s="71"/>
      <c r="P89" s="72">
        <f t="shared" si="59"/>
        <v>0</v>
      </c>
      <c r="Q89" s="71">
        <f t="shared" si="60"/>
        <v>0</v>
      </c>
      <c r="R89" s="72">
        <f t="shared" si="59"/>
        <v>0</v>
      </c>
      <c r="S89" s="71">
        <v>653</v>
      </c>
      <c r="T89" s="72"/>
      <c r="U89" s="71"/>
      <c r="V89" s="72"/>
      <c r="W89" s="71">
        <f t="shared" si="61"/>
        <v>653</v>
      </c>
      <c r="X89" s="72">
        <f t="shared" si="61"/>
        <v>0</v>
      </c>
    </row>
    <row r="90" spans="1:24" ht="15" customHeight="1" outlineLevel="1">
      <c r="A90" s="78"/>
      <c r="B90" s="106" t="s">
        <v>112</v>
      </c>
      <c r="C90" s="46" t="s">
        <v>53</v>
      </c>
      <c r="D90" s="34" t="s">
        <v>54</v>
      </c>
      <c r="E90" s="71">
        <v>222</v>
      </c>
      <c r="F90" s="72">
        <f t="shared" si="53"/>
        <v>1.2453843457628426E-2</v>
      </c>
      <c r="G90" s="71">
        <v>176.47577000000001</v>
      </c>
      <c r="H90" s="72">
        <f t="shared" si="33"/>
        <v>1.283980871239146E-3</v>
      </c>
      <c r="I90" s="71">
        <f t="shared" si="54"/>
        <v>398.47577000000001</v>
      </c>
      <c r="J90" s="72">
        <f t="shared" si="55"/>
        <v>2.5663400543750369E-3</v>
      </c>
      <c r="K90" s="71"/>
      <c r="L90" s="72">
        <f t="shared" si="56"/>
        <v>0</v>
      </c>
      <c r="M90" s="71">
        <f t="shared" si="57"/>
        <v>398.47577000000001</v>
      </c>
      <c r="N90" s="72">
        <f t="shared" si="58"/>
        <v>1.4017507587916443E-3</v>
      </c>
      <c r="O90" s="71"/>
      <c r="P90" s="72">
        <f t="shared" si="59"/>
        <v>0</v>
      </c>
      <c r="Q90" s="71">
        <f t="shared" si="60"/>
        <v>0</v>
      </c>
      <c r="R90" s="72">
        <f t="shared" si="59"/>
        <v>0</v>
      </c>
      <c r="S90" s="71">
        <v>45</v>
      </c>
      <c r="T90" s="72"/>
      <c r="U90" s="71"/>
      <c r="V90" s="72"/>
      <c r="W90" s="71">
        <f t="shared" si="61"/>
        <v>45</v>
      </c>
      <c r="X90" s="72">
        <f t="shared" si="61"/>
        <v>0</v>
      </c>
    </row>
    <row r="91" spans="1:24" ht="15" customHeight="1" outlineLevel="1">
      <c r="A91" s="78"/>
      <c r="B91" s="106" t="s">
        <v>113</v>
      </c>
      <c r="C91" s="46" t="s">
        <v>53</v>
      </c>
      <c r="D91" s="34" t="s">
        <v>54</v>
      </c>
      <c r="E91" s="71">
        <v>47.870862500000001</v>
      </c>
      <c r="F91" s="72">
        <f t="shared" si="53"/>
        <v>2.6854785034083552E-3</v>
      </c>
      <c r="G91" s="71">
        <v>135.6505875</v>
      </c>
      <c r="H91" s="72">
        <f t="shared" si="33"/>
        <v>9.8694999048510755E-4</v>
      </c>
      <c r="I91" s="71">
        <f t="shared" si="54"/>
        <v>183.52145000000002</v>
      </c>
      <c r="J91" s="72">
        <f t="shared" si="55"/>
        <v>1.1819500291623394E-3</v>
      </c>
      <c r="K91" s="71"/>
      <c r="L91" s="72">
        <f t="shared" si="56"/>
        <v>0</v>
      </c>
      <c r="M91" s="71">
        <f t="shared" si="57"/>
        <v>183.52145000000002</v>
      </c>
      <c r="N91" s="72">
        <f t="shared" si="58"/>
        <v>6.4558839246873861E-4</v>
      </c>
      <c r="O91" s="71"/>
      <c r="P91" s="72">
        <f t="shared" si="59"/>
        <v>0</v>
      </c>
      <c r="Q91" s="71">
        <f t="shared" si="60"/>
        <v>0</v>
      </c>
      <c r="R91" s="72">
        <f t="shared" si="59"/>
        <v>0</v>
      </c>
      <c r="S91" s="71"/>
      <c r="T91" s="72"/>
      <c r="U91" s="71"/>
      <c r="V91" s="72"/>
      <c r="W91" s="71">
        <f t="shared" si="61"/>
        <v>0</v>
      </c>
      <c r="X91" s="72">
        <f t="shared" si="61"/>
        <v>0</v>
      </c>
    </row>
    <row r="92" spans="1:24" ht="15" customHeight="1" outlineLevel="1">
      <c r="A92" s="78"/>
      <c r="B92" s="106" t="s">
        <v>114</v>
      </c>
      <c r="C92" s="46" t="s">
        <v>53</v>
      </c>
      <c r="D92" s="34" t="s">
        <v>54</v>
      </c>
      <c r="E92" s="71">
        <f>32.42952+36.059437</f>
        <v>68.488956999999999</v>
      </c>
      <c r="F92" s="72">
        <f t="shared" si="53"/>
        <v>3.8421204912353355E-3</v>
      </c>
      <c r="G92" s="71">
        <f>209.52234+42.314505</f>
        <v>251.83684500000001</v>
      </c>
      <c r="H92" s="72">
        <f t="shared" si="33"/>
        <v>1.8322837840753876E-3</v>
      </c>
      <c r="I92" s="71">
        <f t="shared" si="54"/>
        <v>320.32580200000001</v>
      </c>
      <c r="J92" s="72">
        <f t="shared" si="55"/>
        <v>2.0630236466383073E-3</v>
      </c>
      <c r="K92" s="71">
        <v>1904.4073168448049</v>
      </c>
      <c r="L92" s="72">
        <f t="shared" si="56"/>
        <v>1.4762847417401588E-2</v>
      </c>
      <c r="M92" s="71">
        <f t="shared" si="57"/>
        <v>2224.7331188448047</v>
      </c>
      <c r="N92" s="72">
        <f t="shared" si="58"/>
        <v>7.8261253813490493E-3</v>
      </c>
      <c r="O92" s="71"/>
      <c r="P92" s="72">
        <f t="shared" si="59"/>
        <v>0</v>
      </c>
      <c r="Q92" s="71">
        <f t="shared" si="60"/>
        <v>0</v>
      </c>
      <c r="R92" s="72">
        <f t="shared" si="59"/>
        <v>0</v>
      </c>
      <c r="S92" s="71">
        <f>576+175</f>
        <v>751</v>
      </c>
      <c r="T92" s="72"/>
      <c r="U92" s="71"/>
      <c r="V92" s="72"/>
      <c r="W92" s="71">
        <f t="shared" si="61"/>
        <v>751</v>
      </c>
      <c r="X92" s="72">
        <f t="shared" si="61"/>
        <v>0</v>
      </c>
    </row>
    <row r="93" spans="1:24" ht="15" customHeight="1" outlineLevel="1">
      <c r="A93" s="78"/>
      <c r="B93" s="106" t="s">
        <v>115</v>
      </c>
      <c r="C93" s="46" t="s">
        <v>53</v>
      </c>
      <c r="D93" s="34" t="s">
        <v>54</v>
      </c>
      <c r="E93" s="71">
        <v>0</v>
      </c>
      <c r="F93" s="72">
        <f t="shared" si="53"/>
        <v>0</v>
      </c>
      <c r="G93" s="71">
        <v>0</v>
      </c>
      <c r="H93" s="72">
        <f t="shared" si="33"/>
        <v>0</v>
      </c>
      <c r="I93" s="71">
        <f t="shared" si="54"/>
        <v>0</v>
      </c>
      <c r="J93" s="72">
        <f t="shared" si="55"/>
        <v>0</v>
      </c>
      <c r="K93" s="71"/>
      <c r="L93" s="72">
        <f t="shared" si="56"/>
        <v>0</v>
      </c>
      <c r="M93" s="71">
        <f t="shared" si="57"/>
        <v>0</v>
      </c>
      <c r="N93" s="72">
        <f t="shared" si="58"/>
        <v>0</v>
      </c>
      <c r="O93" s="71"/>
      <c r="P93" s="72">
        <f t="shared" si="59"/>
        <v>0</v>
      </c>
      <c r="Q93" s="71">
        <f t="shared" si="60"/>
        <v>0</v>
      </c>
      <c r="R93" s="72">
        <f t="shared" si="59"/>
        <v>0</v>
      </c>
      <c r="S93" s="71"/>
      <c r="T93" s="72"/>
      <c r="U93" s="71"/>
      <c r="V93" s="72"/>
      <c r="W93" s="71">
        <f t="shared" si="61"/>
        <v>0</v>
      </c>
      <c r="X93" s="72">
        <f t="shared" si="61"/>
        <v>0</v>
      </c>
    </row>
    <row r="94" spans="1:24">
      <c r="A94" s="101" t="s">
        <v>116</v>
      </c>
      <c r="B94" s="102"/>
      <c r="C94" s="102"/>
      <c r="D94" s="103"/>
      <c r="E94" s="104">
        <f t="shared" ref="E94:W94" si="62">SUM(E67,E70:E72,E76:E82)</f>
        <v>9077.7901532889719</v>
      </c>
      <c r="F94" s="105">
        <f t="shared" si="62"/>
        <v>0.50924944824442153</v>
      </c>
      <c r="G94" s="104">
        <f t="shared" si="62"/>
        <v>35547.196577089191</v>
      </c>
      <c r="H94" s="105">
        <f t="shared" si="62"/>
        <v>0.2586299548723327</v>
      </c>
      <c r="I94" s="104">
        <f t="shared" si="62"/>
        <v>44624.986730378158</v>
      </c>
      <c r="J94" s="105">
        <f t="shared" si="62"/>
        <v>0.2874023955637855</v>
      </c>
      <c r="K94" s="104">
        <f t="shared" si="62"/>
        <v>33782.014891037994</v>
      </c>
      <c r="L94" s="105">
        <f t="shared" si="62"/>
        <v>0.26187608442665111</v>
      </c>
      <c r="M94" s="104">
        <f t="shared" si="62"/>
        <v>78407.001621416173</v>
      </c>
      <c r="N94" s="105">
        <f t="shared" si="62"/>
        <v>0.27581871293553872</v>
      </c>
      <c r="O94" s="104">
        <f t="shared" si="62"/>
        <v>8203.615731344973</v>
      </c>
      <c r="P94" s="105">
        <f t="shared" si="62"/>
        <v>3.210240561418462E-2</v>
      </c>
      <c r="Q94" s="104">
        <f t="shared" si="62"/>
        <v>8203.615731344973</v>
      </c>
      <c r="R94" s="105">
        <f t="shared" si="62"/>
        <v>3.210240561418462E-2</v>
      </c>
      <c r="S94" s="104">
        <f t="shared" si="62"/>
        <v>7800</v>
      </c>
      <c r="T94" s="105">
        <f t="shared" si="62"/>
        <v>0</v>
      </c>
      <c r="U94" s="104">
        <f t="shared" si="62"/>
        <v>0</v>
      </c>
      <c r="V94" s="105">
        <f t="shared" si="62"/>
        <v>0</v>
      </c>
      <c r="W94" s="104">
        <f t="shared" si="62"/>
        <v>16003.615731344971</v>
      </c>
      <c r="X94" s="105">
        <f>SUM(X67,X70:X72,X76:X82)</f>
        <v>3.210240561418462E-2</v>
      </c>
    </row>
    <row r="95" spans="1:24">
      <c r="A95" s="92"/>
      <c r="B95" s="93"/>
      <c r="C95" s="93"/>
      <c r="D95" s="94"/>
      <c r="E95" s="49"/>
      <c r="F95" s="95">
        <f>+E94/F$12/1000-F94</f>
        <v>0</v>
      </c>
      <c r="G95" s="61"/>
      <c r="H95" s="95">
        <f>+G94/H$12/1000-H94</f>
        <v>0</v>
      </c>
      <c r="I95" s="61"/>
      <c r="J95" s="95">
        <f>+I94/J$12/1000-J94</f>
        <v>0</v>
      </c>
      <c r="K95" s="61"/>
      <c r="L95" s="95">
        <f>+K94/L$12/1000-L94</f>
        <v>0</v>
      </c>
      <c r="M95" s="61"/>
      <c r="N95" s="95">
        <f>+M94/N$12/1000-N94</f>
        <v>0</v>
      </c>
      <c r="O95" s="61"/>
      <c r="P95" s="95">
        <f>+O94/P$12/1000-P94</f>
        <v>0</v>
      </c>
      <c r="Q95" s="61"/>
      <c r="R95" s="95"/>
      <c r="S95" s="71"/>
      <c r="T95" s="72"/>
      <c r="U95" s="71"/>
      <c r="V95" s="72"/>
      <c r="W95" s="61"/>
      <c r="X95" s="95"/>
    </row>
    <row r="96" spans="1:24">
      <c r="A96" s="87" t="s">
        <v>117</v>
      </c>
      <c r="B96" s="88"/>
      <c r="C96" s="88"/>
      <c r="D96" s="89"/>
      <c r="E96" s="90">
        <f t="shared" ref="E96:R96" si="63">+E94+E64</f>
        <v>14060.605478556165</v>
      </c>
      <c r="F96" s="91">
        <f t="shared" si="63"/>
        <v>0.78877738535770736</v>
      </c>
      <c r="G96" s="90">
        <f t="shared" si="63"/>
        <v>62933.230157116239</v>
      </c>
      <c r="H96" s="91">
        <f t="shared" si="63"/>
        <v>0.4578819159538321</v>
      </c>
      <c r="I96" s="90">
        <f t="shared" si="63"/>
        <v>76993.835635672396</v>
      </c>
      <c r="J96" s="91">
        <f t="shared" si="63"/>
        <v>0.49587046241680932</v>
      </c>
      <c r="K96" s="90">
        <f t="shared" si="63"/>
        <v>64726.541700694564</v>
      </c>
      <c r="L96" s="91">
        <f t="shared" si="63"/>
        <v>0.50175613721468659</v>
      </c>
      <c r="M96" s="90">
        <f t="shared" si="63"/>
        <v>141720.37733636698</v>
      </c>
      <c r="N96" s="91">
        <f t="shared" si="63"/>
        <v>0.49854134535580541</v>
      </c>
      <c r="O96" s="90">
        <f t="shared" si="63"/>
        <v>92623.114207469189</v>
      </c>
      <c r="P96" s="91">
        <f t="shared" si="63"/>
        <v>0.37769927723087027</v>
      </c>
      <c r="Q96" s="90">
        <f t="shared" si="63"/>
        <v>92623.114207469189</v>
      </c>
      <c r="R96" s="91">
        <f t="shared" si="63"/>
        <v>0.37769927723087027</v>
      </c>
      <c r="S96" s="90">
        <f>S94+S64</f>
        <v>13306.8</v>
      </c>
      <c r="T96" s="91">
        <f>T94+T64</f>
        <v>0</v>
      </c>
      <c r="U96" s="90">
        <f>U94+U64</f>
        <v>0</v>
      </c>
      <c r="V96" s="91">
        <f>V94+V64</f>
        <v>0</v>
      </c>
      <c r="W96" s="90">
        <f t="shared" ref="W96:X96" si="64">+W94+W64</f>
        <v>105929.91420746919</v>
      </c>
      <c r="X96" s="91">
        <f t="shared" si="64"/>
        <v>0.37769927723087027</v>
      </c>
    </row>
    <row r="97" spans="1:24">
      <c r="A97" s="92"/>
      <c r="B97" s="93"/>
      <c r="C97" s="93"/>
      <c r="D97" s="94"/>
      <c r="E97" s="49"/>
      <c r="F97" s="95">
        <f>+E96/F$12/1000-F96</f>
        <v>0</v>
      </c>
      <c r="G97" s="107"/>
      <c r="H97" s="95">
        <f>+G96/H$12/1000-H96</f>
        <v>0</v>
      </c>
      <c r="I97" s="61"/>
      <c r="J97" s="95">
        <f>+I96/J$12/1000-J96</f>
        <v>0</v>
      </c>
      <c r="K97" s="61"/>
      <c r="L97" s="95">
        <f>+K96/L$12/1000-L96</f>
        <v>0</v>
      </c>
      <c r="M97" s="61"/>
      <c r="N97" s="95">
        <f>+M96/N$12/1000-N96</f>
        <v>0</v>
      </c>
      <c r="O97" s="107"/>
      <c r="P97" s="95">
        <f>+O96/P$12/1000-P96+P50</f>
        <v>4.6837533851373792E-17</v>
      </c>
      <c r="Q97" s="61"/>
      <c r="R97" s="95"/>
      <c r="S97" s="71"/>
      <c r="T97" s="72"/>
      <c r="U97" s="71"/>
      <c r="V97" s="72"/>
      <c r="W97" s="61"/>
      <c r="X97" s="95"/>
    </row>
    <row r="98" spans="1:24">
      <c r="A98" s="108" t="s">
        <v>118</v>
      </c>
      <c r="B98" s="109"/>
      <c r="C98" s="109"/>
      <c r="D98" s="110"/>
      <c r="E98" s="111">
        <f t="shared" ref="E98:R98" si="65">+E96+E46</f>
        <v>23620.263027181369</v>
      </c>
      <c r="F98" s="112">
        <f t="shared" si="65"/>
        <v>1.3250588205789424</v>
      </c>
      <c r="G98" s="111">
        <f t="shared" si="65"/>
        <v>136538.95882399101</v>
      </c>
      <c r="H98" s="112">
        <f t="shared" si="65"/>
        <v>0.99341349415227864</v>
      </c>
      <c r="I98" s="111">
        <f t="shared" si="65"/>
        <v>160159.22185117236</v>
      </c>
      <c r="J98" s="112">
        <f t="shared" si="65"/>
        <v>1.0314881281594643</v>
      </c>
      <c r="K98" s="111">
        <f t="shared" si="65"/>
        <v>130207.96927034983</v>
      </c>
      <c r="L98" s="112">
        <f t="shared" si="65"/>
        <v>1.0093641028709288</v>
      </c>
      <c r="M98" s="111">
        <f t="shared" si="65"/>
        <v>290367.19112152222</v>
      </c>
      <c r="N98" s="112">
        <f t="shared" si="65"/>
        <v>1.0214483818747426</v>
      </c>
      <c r="O98" s="111">
        <f t="shared" si="65"/>
        <v>370456.69222746918</v>
      </c>
      <c r="P98" s="112">
        <f t="shared" si="65"/>
        <v>1.4649181947088554</v>
      </c>
      <c r="Q98" s="111">
        <f t="shared" si="65"/>
        <v>356018.17179778754</v>
      </c>
      <c r="R98" s="112">
        <f t="shared" si="65"/>
        <v>1.4141266322303268</v>
      </c>
      <c r="S98" s="111">
        <f>S96+S46</f>
        <v>13306.8</v>
      </c>
      <c r="T98" s="112">
        <f>T96+T46</f>
        <v>0</v>
      </c>
      <c r="U98" s="111">
        <f>U96+U46</f>
        <v>0</v>
      </c>
      <c r="V98" s="112">
        <f>V96+V46</f>
        <v>0</v>
      </c>
      <c r="W98" s="111">
        <f t="shared" ref="W98:X98" si="66">+W96+W46</f>
        <v>369324.97179778758</v>
      </c>
      <c r="X98" s="112">
        <f t="shared" si="66"/>
        <v>1.408417347462767</v>
      </c>
    </row>
    <row r="99" spans="1:24">
      <c r="A99" s="78"/>
      <c r="B99" s="33"/>
      <c r="C99" s="33"/>
      <c r="D99" s="34"/>
      <c r="E99" s="71"/>
      <c r="F99" s="113">
        <f>+E98/F$12/1000-F98</f>
        <v>0</v>
      </c>
      <c r="G99" s="71"/>
      <c r="H99" s="113">
        <f>+G98/H$12/1000-H98</f>
        <v>0</v>
      </c>
      <c r="I99" s="71"/>
      <c r="J99" s="113">
        <f>+I98/J$12/1000-J98</f>
        <v>0</v>
      </c>
      <c r="K99" s="71"/>
      <c r="L99" s="113">
        <f>+K98/L$12/1000-L98</f>
        <v>0</v>
      </c>
      <c r="M99" s="71"/>
      <c r="N99" s="113">
        <f>+M98/N$12/1000-N98</f>
        <v>0</v>
      </c>
      <c r="O99" s="71"/>
      <c r="P99" s="113">
        <f>+O98/P$12/1000-P98+P50</f>
        <v>-3.9725167599868882E-16</v>
      </c>
      <c r="Q99" s="71"/>
      <c r="R99" s="114"/>
      <c r="S99" s="71"/>
      <c r="T99" s="72"/>
      <c r="U99" s="71"/>
      <c r="V99" s="72"/>
      <c r="W99" s="71"/>
      <c r="X99" s="114"/>
    </row>
    <row r="100" spans="1:24">
      <c r="A100" s="80" t="s">
        <v>119</v>
      </c>
      <c r="B100" s="81"/>
      <c r="C100" s="81"/>
      <c r="D100" s="82"/>
      <c r="E100" s="83">
        <f t="shared" ref="E100:R100" si="67">+E37-E98</f>
        <v>-4190.1167576151965</v>
      </c>
      <c r="F100" s="84">
        <f t="shared" si="67"/>
        <v>-0.23505882057894234</v>
      </c>
      <c r="G100" s="83">
        <f t="shared" si="67"/>
        <v>13275.258512719272</v>
      </c>
      <c r="H100" s="84">
        <f t="shared" si="67"/>
        <v>9.658650584772166E-2</v>
      </c>
      <c r="I100" s="83">
        <f t="shared" si="67"/>
        <v>9085.141755104094</v>
      </c>
      <c r="J100" s="84">
        <f t="shared" si="67"/>
        <v>5.8511871840535745E-2</v>
      </c>
      <c r="K100" s="83">
        <f t="shared" si="67"/>
        <v>10402.030729650171</v>
      </c>
      <c r="L100" s="84">
        <f t="shared" si="67"/>
        <v>8.0635897129071266E-2</v>
      </c>
      <c r="M100" s="83">
        <f t="shared" si="67"/>
        <v>19487.172484754235</v>
      </c>
      <c r="N100" s="84">
        <f t="shared" si="67"/>
        <v>6.8551618125257452E-2</v>
      </c>
      <c r="O100" s="83">
        <f t="shared" si="67"/>
        <v>1587.8988525308669</v>
      </c>
      <c r="P100" s="84">
        <f t="shared" si="67"/>
        <v>1.2422551540100191E-2</v>
      </c>
      <c r="Q100" s="83">
        <f t="shared" si="67"/>
        <v>16026.419282212504</v>
      </c>
      <c r="R100" s="84">
        <f t="shared" si="67"/>
        <v>6.3214114018628864E-2</v>
      </c>
      <c r="S100" s="83">
        <f>S37-S98</f>
        <v>-5299.9999999999991</v>
      </c>
      <c r="T100" s="84">
        <f>T37-T98</f>
        <v>0</v>
      </c>
      <c r="U100" s="83">
        <f>U37-U98</f>
        <v>0</v>
      </c>
      <c r="V100" s="84">
        <f>V37-V98</f>
        <v>0</v>
      </c>
      <c r="W100" s="83">
        <f t="shared" ref="W100:X100" si="68">+W37-W98</f>
        <v>10726.419282212446</v>
      </c>
      <c r="X100" s="84">
        <f t="shared" si="68"/>
        <v>6.8923398786188583E-2</v>
      </c>
    </row>
    <row r="101" spans="1:24">
      <c r="A101" s="78"/>
      <c r="B101" s="33"/>
      <c r="C101" s="33"/>
      <c r="D101" s="34"/>
      <c r="E101" s="49"/>
      <c r="F101" s="95">
        <f>+E100/F$12/1000-F100</f>
        <v>0</v>
      </c>
      <c r="G101" s="107"/>
      <c r="H101" s="95">
        <f>+G100/H$12/1000-H100</f>
        <v>0</v>
      </c>
      <c r="I101" s="61"/>
      <c r="J101" s="95">
        <f>+I100/J$12/1000-J100</f>
        <v>-9.7144514654701197E-17</v>
      </c>
      <c r="K101" s="61"/>
      <c r="L101" s="95">
        <f>+K100/L$12/1000-L100</f>
        <v>-1.8041124150158794E-16</v>
      </c>
      <c r="M101" s="61"/>
      <c r="N101" s="95">
        <f>+M100/N$12/1000-N100</f>
        <v>0</v>
      </c>
      <c r="O101" s="61"/>
      <c r="P101" s="95">
        <f>O37/P$13/1000-O98/P$12/1000-P100-P50</f>
        <v>3.9725167599868882E-16</v>
      </c>
      <c r="Q101" s="107"/>
      <c r="R101" s="114"/>
      <c r="S101" s="71"/>
      <c r="T101" s="72"/>
      <c r="U101" s="71"/>
      <c r="V101" s="72"/>
      <c r="W101" s="107"/>
      <c r="X101" s="114"/>
    </row>
    <row r="102" spans="1:24">
      <c r="A102" s="78" t="s">
        <v>120</v>
      </c>
      <c r="B102" s="33"/>
      <c r="C102" s="33"/>
      <c r="D102" s="34"/>
      <c r="E102" s="71"/>
      <c r="F102" s="72"/>
      <c r="G102" s="71"/>
      <c r="H102" s="72"/>
      <c r="I102" s="71"/>
      <c r="J102" s="72"/>
      <c r="K102" s="71"/>
      <c r="L102" s="72"/>
      <c r="M102" s="71"/>
      <c r="N102" s="72"/>
      <c r="O102" s="71"/>
      <c r="P102" s="72"/>
      <c r="Q102" s="71"/>
      <c r="R102" s="115"/>
      <c r="S102" s="71"/>
      <c r="T102" s="72"/>
      <c r="U102" s="71"/>
      <c r="V102" s="72"/>
      <c r="W102" s="71"/>
      <c r="X102" s="115"/>
    </row>
    <row r="103" spans="1:24">
      <c r="A103" s="78"/>
      <c r="B103" s="33" t="s">
        <v>121</v>
      </c>
      <c r="C103" s="46" t="s">
        <v>53</v>
      </c>
      <c r="D103" s="34" t="s">
        <v>54</v>
      </c>
      <c r="E103" s="71">
        <v>77.108086923076925</v>
      </c>
      <c r="F103" s="72">
        <f>+E103/F$12/1000</f>
        <v>4.3256398371946192E-3</v>
      </c>
      <c r="G103" s="71">
        <v>224.72628249999997</v>
      </c>
      <c r="H103" s="72">
        <f>+G103/H$12/1000</f>
        <v>1.6350360618609819E-3</v>
      </c>
      <c r="I103" s="71">
        <f>SUM(E103,G103)</f>
        <v>301.83436942307691</v>
      </c>
      <c r="J103" s="72">
        <f>+I103/J$12/1000</f>
        <v>1.9439315771633346E-3</v>
      </c>
      <c r="K103" s="71"/>
      <c r="L103" s="72">
        <f>+K103/L$12/1000</f>
        <v>0</v>
      </c>
      <c r="M103" s="71">
        <f t="shared" ref="M103:M107" si="69">SUM(I103,K103)</f>
        <v>301.83436942307691</v>
      </c>
      <c r="N103" s="72">
        <f>+M103/N$12/1000</f>
        <v>1.0617874114860119E-3</v>
      </c>
      <c r="O103" s="71">
        <v>2459.2193728273505</v>
      </c>
      <c r="P103" s="72">
        <f>+O103/P$12/1000</f>
        <v>9.623422206274046E-3</v>
      </c>
      <c r="Q103" s="71">
        <f>O103</f>
        <v>2459.2193728273505</v>
      </c>
      <c r="R103" s="72">
        <f>P103</f>
        <v>9.623422206274046E-3</v>
      </c>
      <c r="S103" s="71"/>
      <c r="T103" s="72"/>
      <c r="U103" s="71"/>
      <c r="V103" s="72"/>
      <c r="W103" s="71">
        <f t="shared" ref="W103:X107" si="70">Q103+S103+U103</f>
        <v>2459.2193728273505</v>
      </c>
      <c r="X103" s="72">
        <f t="shared" si="70"/>
        <v>9.623422206274046E-3</v>
      </c>
    </row>
    <row r="104" spans="1:24">
      <c r="A104" s="78"/>
      <c r="B104" s="33" t="s">
        <v>122</v>
      </c>
      <c r="C104" s="46" t="s">
        <v>53</v>
      </c>
      <c r="D104" s="34" t="s">
        <v>54</v>
      </c>
      <c r="E104" s="71"/>
      <c r="F104" s="72">
        <f>+E104/F$12/1000</f>
        <v>0</v>
      </c>
      <c r="G104" s="71"/>
      <c r="H104" s="72">
        <f>+G104/H$12/1000</f>
        <v>0</v>
      </c>
      <c r="I104" s="71">
        <f>SUM(E104,G104)</f>
        <v>0</v>
      </c>
      <c r="J104" s="72">
        <f>+I104/J$12/1000</f>
        <v>0</v>
      </c>
      <c r="K104" s="71"/>
      <c r="L104" s="72">
        <f>+K104/L$12/1000</f>
        <v>0</v>
      </c>
      <c r="M104" s="71">
        <f t="shared" si="69"/>
        <v>0</v>
      </c>
      <c r="N104" s="72">
        <f>+M104/N$12/1000</f>
        <v>0</v>
      </c>
      <c r="O104" s="71"/>
      <c r="P104" s="72">
        <f>+O104/P$12/1000</f>
        <v>0</v>
      </c>
      <c r="Q104" s="71">
        <f t="shared" ref="Q104:R107" si="71">O104</f>
        <v>0</v>
      </c>
      <c r="R104" s="72">
        <f t="shared" si="71"/>
        <v>0</v>
      </c>
      <c r="S104" s="71"/>
      <c r="T104" s="72"/>
      <c r="U104" s="71"/>
      <c r="V104" s="72"/>
      <c r="W104" s="71">
        <f t="shared" si="70"/>
        <v>0</v>
      </c>
      <c r="X104" s="72">
        <f t="shared" si="70"/>
        <v>0</v>
      </c>
    </row>
    <row r="105" spans="1:24">
      <c r="A105" s="78"/>
      <c r="B105" s="33" t="s">
        <v>123</v>
      </c>
      <c r="C105" s="46" t="s">
        <v>53</v>
      </c>
      <c r="D105" s="34" t="s">
        <v>54</v>
      </c>
      <c r="E105" s="71">
        <f>681.366125865988-E42</f>
        <v>299.78873186598798</v>
      </c>
      <c r="F105" s="72">
        <f>+E105/F$12/1000</f>
        <v>1.6817666382972777E-2</v>
      </c>
      <c r="G105" s="71">
        <f>3657.76287682704-G42</f>
        <v>1056.0988268270398</v>
      </c>
      <c r="H105" s="72">
        <f>+G105/H$12/1000</f>
        <v>7.6838349637688083E-3</v>
      </c>
      <c r="I105" s="71">
        <f>SUM(E105,G105)</f>
        <v>1355.8875586930278</v>
      </c>
      <c r="J105" s="72">
        <f>+I105/J$12/1000</f>
        <v>8.7324470220678675E-3</v>
      </c>
      <c r="K105" s="71">
        <v>2897.8260869565215</v>
      </c>
      <c r="L105" s="72">
        <f>+K105/L$12/1000</f>
        <v>2.2463768115942029E-2</v>
      </c>
      <c r="M105" s="71">
        <f t="shared" si="69"/>
        <v>4253.7136456495491</v>
      </c>
      <c r="N105" s="72">
        <f>+M105/N$12/1000</f>
        <v>1.4963635882983868E-2</v>
      </c>
      <c r="O105" s="71">
        <v>2339.7357934677061</v>
      </c>
      <c r="P105" s="72">
        <f>+O105/P$12/1000</f>
        <v>9.1558588227062185E-3</v>
      </c>
      <c r="Q105" s="71">
        <f t="shared" si="71"/>
        <v>2339.7357934677061</v>
      </c>
      <c r="R105" s="72">
        <f t="shared" si="71"/>
        <v>9.1558588227062185E-3</v>
      </c>
      <c r="S105" s="71"/>
      <c r="T105" s="72"/>
      <c r="U105" s="71"/>
      <c r="V105" s="72"/>
      <c r="W105" s="71">
        <f t="shared" si="70"/>
        <v>2339.7357934677061</v>
      </c>
      <c r="X105" s="72">
        <f t="shared" si="70"/>
        <v>9.1558588227062185E-3</v>
      </c>
    </row>
    <row r="106" spans="1:24">
      <c r="A106" s="78"/>
      <c r="B106" s="33" t="s">
        <v>124</v>
      </c>
      <c r="C106" s="46" t="s">
        <v>53</v>
      </c>
      <c r="D106" s="34" t="s">
        <v>54</v>
      </c>
      <c r="E106" s="71">
        <v>129.50800000000001</v>
      </c>
      <c r="F106" s="72">
        <f>+E106/F$12/1000</f>
        <v>7.2651908041015409E-3</v>
      </c>
      <c r="G106" s="71">
        <v>388.524</v>
      </c>
      <c r="H106" s="72">
        <f>+G106/H$12/1000</f>
        <v>2.8267755058800307E-3</v>
      </c>
      <c r="I106" s="71">
        <f>SUM(E106,G106)</f>
        <v>518.03200000000004</v>
      </c>
      <c r="J106" s="72">
        <f>+I106/J$12/1000</f>
        <v>3.3363290095355337E-3</v>
      </c>
      <c r="K106" s="71"/>
      <c r="L106" s="72">
        <f>+K106/L$12/1000</f>
        <v>0</v>
      </c>
      <c r="M106" s="71">
        <f t="shared" si="69"/>
        <v>518.03200000000004</v>
      </c>
      <c r="N106" s="72">
        <f>+M106/N$12/1000</f>
        <v>1.8223234729638719E-3</v>
      </c>
      <c r="O106" s="71">
        <v>381.31155000000007</v>
      </c>
      <c r="P106" s="72">
        <f>+O106/P$12/1000</f>
        <v>1.4921491259886868E-3</v>
      </c>
      <c r="Q106" s="71">
        <f t="shared" si="71"/>
        <v>381.31155000000007</v>
      </c>
      <c r="R106" s="72">
        <f t="shared" si="71"/>
        <v>1.4921491259886868E-3</v>
      </c>
      <c r="S106" s="71"/>
      <c r="T106" s="72"/>
      <c r="U106" s="71"/>
      <c r="V106" s="72"/>
      <c r="W106" s="71">
        <f t="shared" si="70"/>
        <v>381.31155000000007</v>
      </c>
      <c r="X106" s="72">
        <f t="shared" si="70"/>
        <v>1.4921491259886868E-3</v>
      </c>
    </row>
    <row r="107" spans="1:24">
      <c r="A107" s="78"/>
      <c r="B107" s="33" t="s">
        <v>125</v>
      </c>
      <c r="C107" s="46" t="s">
        <v>53</v>
      </c>
      <c r="D107" s="34" t="s">
        <v>54</v>
      </c>
      <c r="E107" s="71">
        <v>-1.512622499999992</v>
      </c>
      <c r="F107" s="72">
        <f>+E107/F$12/1000</f>
        <v>-8.4855692907596629E-5</v>
      </c>
      <c r="G107" s="71">
        <v>-23.415337500000021</v>
      </c>
      <c r="H107" s="72">
        <f>+G107/H$12/1000</f>
        <v>-1.7036245510422576E-4</v>
      </c>
      <c r="I107" s="71">
        <f>SUM(E107,G107)</f>
        <v>-24.927960000000013</v>
      </c>
      <c r="J107" s="72">
        <f>+I107/J$12/1000</f>
        <v>-1.6054582747116285E-4</v>
      </c>
      <c r="K107" s="71"/>
      <c r="L107" s="72">
        <f>+K107/L$12/1000</f>
        <v>0</v>
      </c>
      <c r="M107" s="71">
        <f t="shared" si="69"/>
        <v>-24.927960000000013</v>
      </c>
      <c r="N107" s="72">
        <f>+M107/N$12/1000</f>
        <v>-8.7691120705100264E-5</v>
      </c>
      <c r="O107" s="71">
        <v>299.02699999999999</v>
      </c>
      <c r="P107" s="72">
        <f>+O107/P$12/1000</f>
        <v>1.1701530590851991E-3</v>
      </c>
      <c r="Q107" s="71">
        <f t="shared" si="71"/>
        <v>299.02699999999999</v>
      </c>
      <c r="R107" s="72">
        <f t="shared" si="71"/>
        <v>1.1701530590851991E-3</v>
      </c>
      <c r="S107" s="71"/>
      <c r="T107" s="72"/>
      <c r="U107" s="71"/>
      <c r="V107" s="72"/>
      <c r="W107" s="71">
        <f t="shared" si="70"/>
        <v>299.02699999999999</v>
      </c>
      <c r="X107" s="72">
        <f t="shared" si="70"/>
        <v>1.1701530590851991E-3</v>
      </c>
    </row>
    <row r="108" spans="1:24">
      <c r="A108" s="80" t="s">
        <v>126</v>
      </c>
      <c r="B108" s="116"/>
      <c r="C108" s="116"/>
      <c r="D108" s="117"/>
      <c r="E108" s="83">
        <f t="shared" ref="E108:P108" si="72">+SUM(E103:E107)</f>
        <v>504.89219628906494</v>
      </c>
      <c r="F108" s="84">
        <f t="shared" si="72"/>
        <v>2.8323641331361338E-2</v>
      </c>
      <c r="G108" s="83">
        <f t="shared" si="72"/>
        <v>1645.9337718270399</v>
      </c>
      <c r="H108" s="84">
        <f t="shared" si="72"/>
        <v>1.1975284076405595E-2</v>
      </c>
      <c r="I108" s="83">
        <f t="shared" si="72"/>
        <v>2150.8259681161048</v>
      </c>
      <c r="J108" s="84">
        <f t="shared" si="72"/>
        <v>1.3852161781295572E-2</v>
      </c>
      <c r="K108" s="83">
        <f t="shared" si="72"/>
        <v>2897.8260869565215</v>
      </c>
      <c r="L108" s="84">
        <f t="shared" si="72"/>
        <v>2.2463768115942029E-2</v>
      </c>
      <c r="M108" s="83">
        <f t="shared" si="72"/>
        <v>5048.6520550726264</v>
      </c>
      <c r="N108" s="84">
        <f t="shared" si="72"/>
        <v>1.7760055646728654E-2</v>
      </c>
      <c r="O108" s="83">
        <f t="shared" si="72"/>
        <v>5479.2937162950566</v>
      </c>
      <c r="P108" s="84">
        <f t="shared" si="72"/>
        <v>2.144158321405415E-2</v>
      </c>
      <c r="Q108" s="83">
        <f>+SUM(Q103:Q107)</f>
        <v>5479.2937162950566</v>
      </c>
      <c r="R108" s="84">
        <f>+SUM(R103:R107)</f>
        <v>2.144158321405415E-2</v>
      </c>
      <c r="S108" s="83">
        <f t="shared" ref="S108:X108" si="73">+SUM(S103:S107)</f>
        <v>0</v>
      </c>
      <c r="T108" s="84">
        <f t="shared" si="73"/>
        <v>0</v>
      </c>
      <c r="U108" s="83">
        <f t="shared" si="73"/>
        <v>0</v>
      </c>
      <c r="V108" s="84">
        <f t="shared" si="73"/>
        <v>0</v>
      </c>
      <c r="W108" s="83">
        <f t="shared" si="73"/>
        <v>5479.2937162950566</v>
      </c>
      <c r="X108" s="84">
        <f t="shared" si="73"/>
        <v>2.144158321405415E-2</v>
      </c>
    </row>
    <row r="109" spans="1:24">
      <c r="A109" s="108" t="s">
        <v>127</v>
      </c>
      <c r="B109" s="116"/>
      <c r="C109" s="116"/>
      <c r="D109" s="117"/>
      <c r="E109" s="83">
        <f t="shared" ref="E109:X109" si="74">E98+E108</f>
        <v>24125.155223470432</v>
      </c>
      <c r="F109" s="84">
        <f t="shared" si="74"/>
        <v>1.3533824619103036</v>
      </c>
      <c r="G109" s="83">
        <f t="shared" si="74"/>
        <v>138184.89259581803</v>
      </c>
      <c r="H109" s="84">
        <f t="shared" si="74"/>
        <v>1.0053887782286843</v>
      </c>
      <c r="I109" s="83">
        <f t="shared" si="74"/>
        <v>162310.04781928848</v>
      </c>
      <c r="J109" s="84">
        <f t="shared" si="74"/>
        <v>1.04534028994076</v>
      </c>
      <c r="K109" s="83">
        <f t="shared" si="74"/>
        <v>133105.79535730634</v>
      </c>
      <c r="L109" s="84">
        <f t="shared" si="74"/>
        <v>1.0318278709868709</v>
      </c>
      <c r="M109" s="83">
        <f t="shared" si="74"/>
        <v>295415.84317659482</v>
      </c>
      <c r="N109" s="84">
        <f t="shared" si="74"/>
        <v>1.0392084375214712</v>
      </c>
      <c r="O109" s="83">
        <f t="shared" si="74"/>
        <v>375935.98594376422</v>
      </c>
      <c r="P109" s="84">
        <f t="shared" si="74"/>
        <v>1.4863597779229096</v>
      </c>
      <c r="Q109" s="83">
        <f>Q98+Q108</f>
        <v>361497.46551408258</v>
      </c>
      <c r="R109" s="84">
        <f>R98+R108</f>
        <v>1.435568215444381</v>
      </c>
      <c r="S109" s="83">
        <f t="shared" si="74"/>
        <v>13306.8</v>
      </c>
      <c r="T109" s="84">
        <f t="shared" si="74"/>
        <v>0</v>
      </c>
      <c r="U109" s="83">
        <f t="shared" si="74"/>
        <v>0</v>
      </c>
      <c r="V109" s="84">
        <f t="shared" si="74"/>
        <v>0</v>
      </c>
      <c r="W109" s="83">
        <f t="shared" si="74"/>
        <v>374804.26551408262</v>
      </c>
      <c r="X109" s="84">
        <f t="shared" si="74"/>
        <v>1.4298589306768212</v>
      </c>
    </row>
    <row r="110" spans="1:24">
      <c r="A110" s="78"/>
      <c r="B110" s="33"/>
      <c r="C110" s="33"/>
      <c r="D110" s="34"/>
      <c r="E110" s="49"/>
      <c r="F110" s="95">
        <f>+E109/F$12/1000-F109</f>
        <v>0</v>
      </c>
      <c r="G110" s="61"/>
      <c r="H110" s="95">
        <f>+G109/H$12/1000-H109</f>
        <v>0</v>
      </c>
      <c r="I110" s="61"/>
      <c r="J110" s="95">
        <f>+I109/J$12/1000-J109</f>
        <v>0</v>
      </c>
      <c r="K110" s="61"/>
      <c r="L110" s="95">
        <f>+K109/L$12/1000-L109</f>
        <v>0</v>
      </c>
      <c r="M110" s="61"/>
      <c r="N110" s="95">
        <f>+M109/N$12/1000-N109</f>
        <v>0</v>
      </c>
      <c r="O110" s="107"/>
      <c r="P110" s="95">
        <f>+O109/P$12/1000-P109+P50</f>
        <v>-3.9725167599868882E-16</v>
      </c>
      <c r="Q110" s="107"/>
      <c r="R110" s="114"/>
      <c r="S110" s="71"/>
      <c r="T110" s="72"/>
      <c r="U110" s="71"/>
      <c r="V110" s="72"/>
      <c r="W110" s="107"/>
      <c r="X110" s="114"/>
    </row>
    <row r="111" spans="1:24">
      <c r="A111" s="78"/>
      <c r="B111" s="33"/>
      <c r="C111" s="33"/>
      <c r="D111" s="34"/>
      <c r="E111" s="71"/>
      <c r="F111" s="72"/>
      <c r="G111" s="71"/>
      <c r="H111" s="72"/>
      <c r="I111" s="71"/>
      <c r="J111" s="72"/>
      <c r="K111" s="71"/>
      <c r="L111" s="72"/>
      <c r="M111" s="71"/>
      <c r="N111" s="72"/>
      <c r="O111" s="71"/>
      <c r="P111" s="72"/>
      <c r="Q111" s="71"/>
      <c r="R111" s="72"/>
      <c r="S111" s="71"/>
      <c r="T111" s="72"/>
      <c r="U111" s="71"/>
      <c r="V111" s="72"/>
      <c r="W111" s="71"/>
      <c r="X111" s="72"/>
    </row>
    <row r="112" spans="1:24">
      <c r="A112" s="78"/>
      <c r="B112" s="33" t="s">
        <v>128</v>
      </c>
      <c r="C112" s="33" t="s">
        <v>62</v>
      </c>
      <c r="D112" s="70" t="s">
        <v>129</v>
      </c>
      <c r="E112" s="71"/>
      <c r="F112" s="72">
        <f>+E112/F$12/1000</f>
        <v>0</v>
      </c>
      <c r="G112" s="71"/>
      <c r="H112" s="72">
        <f>+G112/H$12/1000</f>
        <v>0</v>
      </c>
      <c r="I112" s="71">
        <f>SUM(E112,G112)</f>
        <v>0</v>
      </c>
      <c r="J112" s="72">
        <f>+I112/J$12/1000</f>
        <v>0</v>
      </c>
      <c r="K112" s="71"/>
      <c r="L112" s="72">
        <f>+K112/L$12/1000</f>
        <v>0</v>
      </c>
      <c r="M112" s="71">
        <f t="shared" ref="M112:M115" si="75">SUM(I112,K112)</f>
        <v>0</v>
      </c>
      <c r="N112" s="72">
        <f>+M112/N$12/1000</f>
        <v>0</v>
      </c>
      <c r="O112" s="71"/>
      <c r="P112" s="72">
        <f>+O112/P$12/1000</f>
        <v>0</v>
      </c>
      <c r="Q112" s="71">
        <f t="shared" ref="Q112:Q113" si="76">SUM(M112,O112)</f>
        <v>0</v>
      </c>
      <c r="R112" s="72">
        <f>+Q112/R$12/1000</f>
        <v>0</v>
      </c>
      <c r="S112" s="71"/>
      <c r="T112" s="72"/>
      <c r="U112" s="71"/>
      <c r="V112" s="72"/>
      <c r="W112" s="71">
        <f t="shared" ref="W112:W115" si="77">Q112+S112</f>
        <v>0</v>
      </c>
      <c r="X112" s="72">
        <f t="shared" ref="X112:X115" si="78">+W112/X$12/1000</f>
        <v>0</v>
      </c>
    </row>
    <row r="113" spans="1:24">
      <c r="A113" s="78"/>
      <c r="B113" s="33" t="s">
        <v>130</v>
      </c>
      <c r="C113" s="33" t="s">
        <v>131</v>
      </c>
      <c r="D113" s="34" t="s">
        <v>132</v>
      </c>
      <c r="E113" s="71"/>
      <c r="F113" s="72">
        <f>+E113/F$12/1000</f>
        <v>0</v>
      </c>
      <c r="G113" s="71"/>
      <c r="H113" s="72">
        <f>+G113/H$12/1000</f>
        <v>0</v>
      </c>
      <c r="I113" s="71">
        <f>SUM(E113,G113)</f>
        <v>0</v>
      </c>
      <c r="J113" s="72">
        <f>+I113/J$12/1000</f>
        <v>0</v>
      </c>
      <c r="K113" s="71"/>
      <c r="L113" s="72">
        <f>+K113/L$12/1000</f>
        <v>0</v>
      </c>
      <c r="M113" s="71">
        <f t="shared" si="75"/>
        <v>0</v>
      </c>
      <c r="N113" s="72">
        <f>+M113/N$12/1000</f>
        <v>0</v>
      </c>
      <c r="O113" s="71"/>
      <c r="P113" s="72">
        <f>+O113/P$12/1000</f>
        <v>0</v>
      </c>
      <c r="Q113" s="71">
        <f t="shared" si="76"/>
        <v>0</v>
      </c>
      <c r="R113" s="72">
        <f>+Q113/R$12/1000</f>
        <v>0</v>
      </c>
      <c r="S113" s="71"/>
      <c r="T113" s="72"/>
      <c r="U113" s="71"/>
      <c r="V113" s="72"/>
      <c r="W113" s="71">
        <f t="shared" si="77"/>
        <v>0</v>
      </c>
      <c r="X113" s="72">
        <f t="shared" si="78"/>
        <v>0</v>
      </c>
    </row>
    <row r="114" spans="1:24">
      <c r="A114" s="78"/>
      <c r="B114" s="33" t="s">
        <v>133</v>
      </c>
      <c r="C114" s="33" t="s">
        <v>62</v>
      </c>
      <c r="D114" s="70" t="s">
        <v>129</v>
      </c>
      <c r="E114" s="71"/>
      <c r="F114" s="72">
        <f>+E114/F$12/1000</f>
        <v>0</v>
      </c>
      <c r="G114" s="71"/>
      <c r="H114" s="72">
        <f>+G114/H$12/1000</f>
        <v>0</v>
      </c>
      <c r="I114" s="71">
        <f>SUM(E114,G114)</f>
        <v>0</v>
      </c>
      <c r="J114" s="72">
        <f>+I114/J$12/1000</f>
        <v>0</v>
      </c>
      <c r="K114" s="71"/>
      <c r="L114" s="72">
        <f>+K114/L$12/1000</f>
        <v>0</v>
      </c>
      <c r="M114" s="71">
        <f t="shared" si="75"/>
        <v>0</v>
      </c>
      <c r="N114" s="72">
        <f>+M114/N$12/1000</f>
        <v>0</v>
      </c>
      <c r="O114" s="71">
        <v>-17284.178301383501</v>
      </c>
      <c r="P114" s="72">
        <f>+O114/P$12/1000</f>
        <v>-6.7636481365020318E-2</v>
      </c>
      <c r="Q114" s="71">
        <f>O114</f>
        <v>-17284.178301383501</v>
      </c>
      <c r="R114" s="72">
        <f>+Q114/R$12/1000</f>
        <v>-6.7636481365020318E-2</v>
      </c>
      <c r="S114" s="71"/>
      <c r="T114" s="72"/>
      <c r="U114" s="71"/>
      <c r="V114" s="72"/>
      <c r="W114" s="71">
        <f t="shared" si="77"/>
        <v>-17284.178301383501</v>
      </c>
      <c r="X114" s="72">
        <f t="shared" si="78"/>
        <v>-6.7636481365020318E-2</v>
      </c>
    </row>
    <row r="115" spans="1:24">
      <c r="A115" s="78"/>
      <c r="B115" s="33" t="s">
        <v>134</v>
      </c>
      <c r="C115" s="33" t="s">
        <v>131</v>
      </c>
      <c r="D115" s="34" t="s">
        <v>135</v>
      </c>
      <c r="E115" s="71"/>
      <c r="F115" s="72">
        <f>+E115/F$12/1000</f>
        <v>0</v>
      </c>
      <c r="G115" s="71"/>
      <c r="H115" s="72">
        <f>+G115/H$12/1000</f>
        <v>0</v>
      </c>
      <c r="I115" s="71">
        <f>SUM(E115,G115)</f>
        <v>0</v>
      </c>
      <c r="J115" s="72">
        <f>+I115/J$12/1000</f>
        <v>0</v>
      </c>
      <c r="K115" s="71"/>
      <c r="L115" s="72">
        <f>+K115/L$12/1000</f>
        <v>0</v>
      </c>
      <c r="M115" s="71">
        <f t="shared" si="75"/>
        <v>0</v>
      </c>
      <c r="N115" s="72">
        <f>+M115/N$12/1000</f>
        <v>0</v>
      </c>
      <c r="O115" s="49">
        <v>21383.972024073399</v>
      </c>
      <c r="P115" s="72">
        <f>+O115/P$12/1000</f>
        <v>8.3679802423733671E-2</v>
      </c>
      <c r="Q115" s="49">
        <f>O115</f>
        <v>21383.972024073399</v>
      </c>
      <c r="R115" s="72">
        <f>+Q115/R$12/1000</f>
        <v>8.3679802423733671E-2</v>
      </c>
      <c r="S115" s="71"/>
      <c r="T115" s="72"/>
      <c r="U115" s="71"/>
      <c r="V115" s="72"/>
      <c r="W115" s="49">
        <f t="shared" si="77"/>
        <v>21383.972024073399</v>
      </c>
      <c r="X115" s="72">
        <f t="shared" si="78"/>
        <v>8.3679802423733671E-2</v>
      </c>
    </row>
    <row r="116" spans="1:24">
      <c r="A116" s="80" t="s">
        <v>136</v>
      </c>
      <c r="B116" s="116"/>
      <c r="C116" s="116"/>
      <c r="D116" s="117"/>
      <c r="E116" s="83">
        <f t="shared" ref="E116:R116" si="79">+SUM(E112:E115)</f>
        <v>0</v>
      </c>
      <c r="F116" s="84">
        <f t="shared" si="79"/>
        <v>0</v>
      </c>
      <c r="G116" s="83">
        <f t="shared" si="79"/>
        <v>0</v>
      </c>
      <c r="H116" s="84">
        <f t="shared" si="79"/>
        <v>0</v>
      </c>
      <c r="I116" s="83">
        <f t="shared" si="79"/>
        <v>0</v>
      </c>
      <c r="J116" s="84">
        <f t="shared" si="79"/>
        <v>0</v>
      </c>
      <c r="K116" s="83">
        <f t="shared" si="79"/>
        <v>0</v>
      </c>
      <c r="L116" s="84">
        <f t="shared" si="79"/>
        <v>0</v>
      </c>
      <c r="M116" s="83">
        <f t="shared" si="79"/>
        <v>0</v>
      </c>
      <c r="N116" s="84">
        <f t="shared" si="79"/>
        <v>0</v>
      </c>
      <c r="O116" s="83">
        <f t="shared" si="79"/>
        <v>4099.7937226898975</v>
      </c>
      <c r="P116" s="84">
        <f t="shared" si="79"/>
        <v>1.6043321058713353E-2</v>
      </c>
      <c r="Q116" s="83">
        <f t="shared" si="79"/>
        <v>4099.7937226898975</v>
      </c>
      <c r="R116" s="84">
        <f t="shared" si="79"/>
        <v>1.6043321058713353E-2</v>
      </c>
      <c r="S116" s="83">
        <f t="shared" ref="S116:T116" si="80">+SUM(S111:S115)</f>
        <v>0</v>
      </c>
      <c r="T116" s="84">
        <f t="shared" si="80"/>
        <v>0</v>
      </c>
      <c r="U116" s="83">
        <f t="shared" ref="U116:V116" si="81">+SUM(U111:U115)</f>
        <v>0</v>
      </c>
      <c r="V116" s="84">
        <f t="shared" si="81"/>
        <v>0</v>
      </c>
      <c r="W116" s="83">
        <f>+SUM(W112:W115)</f>
        <v>4099.7937226898975</v>
      </c>
      <c r="X116" s="84">
        <f t="shared" ref="X116" si="82">+SUM(X112:X115)</f>
        <v>1.6043321058713353E-2</v>
      </c>
    </row>
    <row r="117" spans="1:24">
      <c r="A117" s="108" t="s">
        <v>137</v>
      </c>
      <c r="B117" s="116"/>
      <c r="C117" s="116"/>
      <c r="D117" s="117"/>
      <c r="E117" s="83">
        <f t="shared" ref="E117:X117" si="83">E109+E116+E119+E120</f>
        <v>24125.155223470432</v>
      </c>
      <c r="F117" s="84">
        <f t="shared" si="83"/>
        <v>1.3533824619103036</v>
      </c>
      <c r="G117" s="83">
        <f t="shared" si="83"/>
        <v>138184.89259581803</v>
      </c>
      <c r="H117" s="84">
        <f t="shared" si="83"/>
        <v>1.0053887782286843</v>
      </c>
      <c r="I117" s="83">
        <f t="shared" si="83"/>
        <v>162310.04781928848</v>
      </c>
      <c r="J117" s="84">
        <f t="shared" si="83"/>
        <v>1.04534028994076</v>
      </c>
      <c r="K117" s="83">
        <f t="shared" si="83"/>
        <v>133105.79535730634</v>
      </c>
      <c r="L117" s="84">
        <f t="shared" si="83"/>
        <v>1.0318278709868709</v>
      </c>
      <c r="M117" s="83">
        <f t="shared" si="83"/>
        <v>295415.84317659482</v>
      </c>
      <c r="N117" s="84">
        <f t="shared" si="83"/>
        <v>1.0392084375214712</v>
      </c>
      <c r="O117" s="83">
        <f t="shared" si="83"/>
        <v>380035.77966645412</v>
      </c>
      <c r="P117" s="84">
        <f t="shared" si="83"/>
        <v>1.5024030989816231</v>
      </c>
      <c r="Q117" s="83">
        <f t="shared" si="83"/>
        <v>365597.25923677249</v>
      </c>
      <c r="R117" s="84">
        <f t="shared" si="83"/>
        <v>1.4516115365030944</v>
      </c>
      <c r="S117" s="83">
        <f t="shared" si="83"/>
        <v>13306.8</v>
      </c>
      <c r="T117" s="84">
        <f t="shared" si="83"/>
        <v>0</v>
      </c>
      <c r="U117" s="83">
        <f t="shared" si="83"/>
        <v>0</v>
      </c>
      <c r="V117" s="84">
        <f t="shared" si="83"/>
        <v>0</v>
      </c>
      <c r="W117" s="83">
        <f t="shared" si="83"/>
        <v>378904.05923677253</v>
      </c>
      <c r="X117" s="84">
        <f t="shared" si="83"/>
        <v>1.4459022517355347</v>
      </c>
    </row>
    <row r="118" spans="1:24">
      <c r="A118" s="78"/>
      <c r="B118" s="33"/>
      <c r="C118" s="33"/>
      <c r="D118" s="34"/>
      <c r="E118" s="49"/>
      <c r="F118" s="95">
        <f>+E117/F$12/1000-F117</f>
        <v>0</v>
      </c>
      <c r="G118" s="61"/>
      <c r="H118" s="95">
        <f>+G117/H$12/1000-H117</f>
        <v>0</v>
      </c>
      <c r="I118" s="61"/>
      <c r="J118" s="95">
        <f>+I117/J$12/1000-J117</f>
        <v>0</v>
      </c>
      <c r="K118" s="61"/>
      <c r="L118" s="95">
        <f>+K117/L$12/1000-L117</f>
        <v>0</v>
      </c>
      <c r="M118" s="61"/>
      <c r="N118" s="95">
        <f>+M117/N$12/1000-N117</f>
        <v>0</v>
      </c>
      <c r="O118" s="61"/>
      <c r="P118" s="95">
        <f>+O117/P$12/1000-P117+P50</f>
        <v>-3.9725167599868882E-16</v>
      </c>
      <c r="Q118" s="107"/>
      <c r="R118" s="115"/>
      <c r="S118" s="71"/>
      <c r="T118" s="72"/>
      <c r="U118" s="71"/>
      <c r="V118" s="72"/>
      <c r="W118" s="107"/>
      <c r="X118" s="115"/>
    </row>
    <row r="119" spans="1:24" s="119" customFormat="1">
      <c r="A119" s="93" t="s">
        <v>138</v>
      </c>
      <c r="B119" s="93"/>
      <c r="C119" s="33" t="s">
        <v>62</v>
      </c>
      <c r="D119" s="118" t="s">
        <v>54</v>
      </c>
      <c r="E119" s="49"/>
      <c r="F119" s="29"/>
      <c r="G119" s="49"/>
      <c r="H119" s="29"/>
      <c r="I119" s="49"/>
      <c r="J119" s="29"/>
      <c r="K119" s="49"/>
      <c r="L119" s="29"/>
      <c r="M119" s="49"/>
      <c r="N119" s="29"/>
      <c r="O119" s="49"/>
      <c r="P119" s="29"/>
      <c r="Q119" s="49"/>
      <c r="R119" s="29"/>
      <c r="S119" s="49"/>
      <c r="T119" s="29"/>
      <c r="U119" s="49"/>
      <c r="V119" s="29"/>
      <c r="W119" s="49"/>
      <c r="X119" s="29"/>
    </row>
    <row r="120" spans="1:24" s="119" customFormat="1">
      <c r="A120" s="92" t="s">
        <v>139</v>
      </c>
      <c r="B120" s="93"/>
      <c r="C120" s="33" t="s">
        <v>62</v>
      </c>
      <c r="D120" s="100" t="s">
        <v>140</v>
      </c>
      <c r="E120" s="49"/>
      <c r="F120" s="29"/>
      <c r="G120" s="49"/>
      <c r="H120" s="29"/>
      <c r="I120" s="49"/>
      <c r="J120" s="29"/>
      <c r="K120" s="49"/>
      <c r="L120" s="29"/>
      <c r="M120" s="49"/>
      <c r="N120" s="29"/>
      <c r="O120" s="49"/>
      <c r="P120" s="29"/>
      <c r="Q120" s="49"/>
      <c r="R120" s="29"/>
      <c r="S120" s="49"/>
      <c r="T120" s="29"/>
      <c r="U120" s="49"/>
      <c r="V120" s="29"/>
      <c r="W120" s="49"/>
      <c r="X120" s="29"/>
    </row>
    <row r="121" spans="1:24">
      <c r="A121" s="120" t="s">
        <v>141</v>
      </c>
      <c r="B121" s="121"/>
      <c r="C121" s="121"/>
      <c r="D121" s="122"/>
      <c r="E121" s="123">
        <f t="shared" ref="E121:X121" si="84">+E100-E108-E116-E119-E120</f>
        <v>-4695.0089539042619</v>
      </c>
      <c r="F121" s="124">
        <f t="shared" si="84"/>
        <v>-0.26338246191030368</v>
      </c>
      <c r="G121" s="123">
        <f t="shared" si="84"/>
        <v>11629.324740892233</v>
      </c>
      <c r="H121" s="124">
        <f t="shared" si="84"/>
        <v>8.4611221771316067E-2</v>
      </c>
      <c r="I121" s="123">
        <f t="shared" si="84"/>
        <v>6934.3157869879888</v>
      </c>
      <c r="J121" s="124">
        <f t="shared" si="84"/>
        <v>4.4659710059240174E-2</v>
      </c>
      <c r="K121" s="123">
        <f t="shared" si="84"/>
        <v>7504.2046426936486</v>
      </c>
      <c r="L121" s="124">
        <f t="shared" si="84"/>
        <v>5.8172129013129237E-2</v>
      </c>
      <c r="M121" s="123">
        <f t="shared" si="84"/>
        <v>14438.520429681608</v>
      </c>
      <c r="N121" s="124">
        <f t="shared" si="84"/>
        <v>5.0791562478528798E-2</v>
      </c>
      <c r="O121" s="123">
        <f t="shared" si="84"/>
        <v>-7991.1885864540873</v>
      </c>
      <c r="P121" s="124">
        <f t="shared" si="84"/>
        <v>-2.5062352732667312E-2</v>
      </c>
      <c r="Q121" s="123">
        <f t="shared" si="84"/>
        <v>6447.3318432275501</v>
      </c>
      <c r="R121" s="124">
        <f t="shared" si="84"/>
        <v>2.5729209745861362E-2</v>
      </c>
      <c r="S121" s="123">
        <f t="shared" si="84"/>
        <v>-5299.9999999999991</v>
      </c>
      <c r="T121" s="124">
        <f t="shared" si="84"/>
        <v>0</v>
      </c>
      <c r="U121" s="123">
        <f t="shared" si="84"/>
        <v>0</v>
      </c>
      <c r="V121" s="124">
        <f t="shared" si="84"/>
        <v>0</v>
      </c>
      <c r="W121" s="123">
        <f t="shared" si="84"/>
        <v>1147.3318432274918</v>
      </c>
      <c r="X121" s="124">
        <f t="shared" si="84"/>
        <v>3.1438494513421081E-2</v>
      </c>
    </row>
    <row r="122" spans="1:24">
      <c r="E122" s="49"/>
      <c r="F122" s="95">
        <f>+E121/F$12/1000-F121</f>
        <v>0</v>
      </c>
      <c r="G122" s="61"/>
      <c r="H122" s="95">
        <f>+G121/H$12/1000-H121</f>
        <v>0</v>
      </c>
      <c r="I122" s="61"/>
      <c r="J122" s="95">
        <f>+I121/J$12/1000-J121</f>
        <v>-1.0408340855860843E-16</v>
      </c>
      <c r="K122" s="61"/>
      <c r="L122" s="95">
        <f>+K121/L$12/1000-L121</f>
        <v>-1.8041124150158794E-16</v>
      </c>
      <c r="M122" s="61"/>
      <c r="N122" s="95">
        <f>+M121/N$12/1000-N121</f>
        <v>-5.5511151231257827E-17</v>
      </c>
      <c r="O122" s="61"/>
      <c r="P122" s="95">
        <f>O37/P$13/1000-O117/P$12/1000-P121-P50</f>
        <v>2.7235158572835871E-16</v>
      </c>
      <c r="Q122" s="61"/>
      <c r="R122" s="95"/>
      <c r="S122" s="3"/>
      <c r="U122" s="3"/>
      <c r="W122" s="61"/>
      <c r="X122" s="95"/>
    </row>
    <row r="123" spans="1:24">
      <c r="Q123" s="125"/>
      <c r="S123" s="3"/>
      <c r="U123" s="3"/>
      <c r="W123" s="125"/>
    </row>
    <row r="124" spans="1:24" hidden="1">
      <c r="E124" s="5" t="s">
        <v>1</v>
      </c>
      <c r="F124" s="6"/>
      <c r="G124" s="5" t="s">
        <v>2</v>
      </c>
      <c r="H124" s="6"/>
      <c r="I124" s="5" t="s">
        <v>3</v>
      </c>
      <c r="J124" s="6"/>
      <c r="K124" s="5" t="s">
        <v>4</v>
      </c>
      <c r="L124" s="6"/>
      <c r="M124" s="5" t="s">
        <v>5</v>
      </c>
      <c r="N124" s="6"/>
      <c r="O124" s="5" t="s">
        <v>6</v>
      </c>
      <c r="P124" s="6"/>
      <c r="Q124" s="5" t="s">
        <v>7</v>
      </c>
      <c r="R124" s="6"/>
      <c r="S124" s="5" t="s">
        <v>8</v>
      </c>
      <c r="T124" s="6"/>
      <c r="U124" s="5" t="s">
        <v>8</v>
      </c>
      <c r="V124" s="6"/>
      <c r="W124" s="5" t="s">
        <v>7</v>
      </c>
      <c r="X124" s="6"/>
    </row>
    <row r="125" spans="1:24" ht="15" hidden="1" customHeight="1">
      <c r="A125" s="7" t="s">
        <v>142</v>
      </c>
      <c r="B125" s="8"/>
      <c r="C125" s="9"/>
      <c r="D125" s="10"/>
      <c r="E125" s="11" t="s">
        <v>143</v>
      </c>
      <c r="F125" s="12"/>
      <c r="G125" s="11" t="s">
        <v>143</v>
      </c>
      <c r="H125" s="12"/>
      <c r="I125" s="11" t="s">
        <v>143</v>
      </c>
      <c r="J125" s="12"/>
      <c r="K125" s="11" t="s">
        <v>143</v>
      </c>
      <c r="L125" s="12"/>
      <c r="M125" s="11" t="s">
        <v>143</v>
      </c>
      <c r="N125" s="12"/>
      <c r="O125" s="11" t="s">
        <v>143</v>
      </c>
      <c r="P125" s="12"/>
      <c r="Q125" s="11" t="s">
        <v>143</v>
      </c>
      <c r="R125" s="12"/>
      <c r="S125" s="11" t="s">
        <v>144</v>
      </c>
      <c r="T125" s="12"/>
      <c r="U125" s="11" t="s">
        <v>144</v>
      </c>
      <c r="V125" s="12"/>
      <c r="W125" s="11" t="s">
        <v>143</v>
      </c>
      <c r="X125" s="12"/>
    </row>
    <row r="126" spans="1:24" hidden="1">
      <c r="A126" s="14"/>
      <c r="B126" s="15"/>
      <c r="C126" s="15"/>
      <c r="D126" s="17"/>
      <c r="E126" s="18" t="s">
        <v>15</v>
      </c>
      <c r="F126" s="18" t="s">
        <v>16</v>
      </c>
      <c r="G126" s="18" t="s">
        <v>15</v>
      </c>
      <c r="H126" s="18" t="s">
        <v>16</v>
      </c>
      <c r="I126" s="18" t="s">
        <v>15</v>
      </c>
      <c r="J126" s="18" t="s">
        <v>16</v>
      </c>
      <c r="K126" s="18" t="s">
        <v>15</v>
      </c>
      <c r="L126" s="18" t="s">
        <v>16</v>
      </c>
      <c r="M126" s="18" t="s">
        <v>15</v>
      </c>
      <c r="N126" s="18" t="s">
        <v>16</v>
      </c>
      <c r="O126" s="18" t="s">
        <v>15</v>
      </c>
      <c r="P126" s="18" t="s">
        <v>16</v>
      </c>
      <c r="Q126" s="18" t="s">
        <v>15</v>
      </c>
      <c r="R126" s="18" t="s">
        <v>16</v>
      </c>
      <c r="S126" s="18" t="s">
        <v>15</v>
      </c>
      <c r="T126" s="18" t="s">
        <v>16</v>
      </c>
      <c r="U126" s="18" t="s">
        <v>15</v>
      </c>
      <c r="V126" s="18" t="s">
        <v>16</v>
      </c>
      <c r="W126" s="18" t="s">
        <v>15</v>
      </c>
      <c r="X126" s="18" t="s">
        <v>16</v>
      </c>
    </row>
    <row r="127" spans="1:24" hidden="1">
      <c r="A127" s="19"/>
      <c r="B127" s="20"/>
      <c r="C127" s="20"/>
      <c r="D127" s="48"/>
      <c r="E127" s="126"/>
      <c r="F127" s="127"/>
      <c r="G127" s="126"/>
      <c r="H127" s="127"/>
      <c r="I127" s="126"/>
      <c r="J127" s="127"/>
      <c r="K127" s="126"/>
      <c r="L127" s="127"/>
      <c r="M127" s="126"/>
      <c r="N127" s="127"/>
      <c r="O127" s="126"/>
      <c r="P127" s="127"/>
      <c r="Q127" s="126"/>
      <c r="R127" s="127"/>
      <c r="S127" s="126"/>
      <c r="T127" s="127"/>
      <c r="U127" s="126"/>
      <c r="V127" s="127"/>
      <c r="W127" s="126"/>
      <c r="X127" s="127"/>
    </row>
    <row r="128" spans="1:24" hidden="1">
      <c r="A128" s="25" t="s">
        <v>145</v>
      </c>
      <c r="B128" s="33"/>
      <c r="C128" s="33"/>
      <c r="D128" s="34"/>
      <c r="E128" s="71"/>
      <c r="F128" s="72"/>
      <c r="G128" s="71"/>
      <c r="H128" s="72"/>
      <c r="I128" s="71"/>
      <c r="J128" s="72"/>
      <c r="K128" s="71"/>
      <c r="L128" s="72"/>
      <c r="M128" s="71"/>
      <c r="N128" s="72"/>
      <c r="O128" s="71"/>
      <c r="P128" s="72"/>
      <c r="Q128" s="71"/>
      <c r="R128" s="72"/>
      <c r="S128" s="71"/>
      <c r="T128" s="72"/>
      <c r="U128" s="71"/>
      <c r="V128" s="72"/>
      <c r="W128" s="71"/>
      <c r="X128" s="72"/>
    </row>
    <row r="129" spans="1:24" hidden="1">
      <c r="A129" s="50" t="s">
        <v>146</v>
      </c>
      <c r="B129" s="33"/>
      <c r="C129" s="33"/>
      <c r="D129" s="34"/>
      <c r="E129" s="71"/>
      <c r="F129" s="72"/>
      <c r="G129" s="71"/>
      <c r="H129" s="72"/>
      <c r="I129" s="71"/>
      <c r="J129" s="72"/>
      <c r="K129" s="71"/>
      <c r="L129" s="72"/>
      <c r="M129" s="71"/>
      <c r="N129" s="72"/>
      <c r="O129" s="71"/>
      <c r="P129" s="72"/>
      <c r="Q129" s="71"/>
      <c r="R129" s="72"/>
      <c r="S129" s="71"/>
      <c r="T129" s="72"/>
      <c r="U129" s="71"/>
      <c r="V129" s="72"/>
      <c r="W129" s="71"/>
      <c r="X129" s="72"/>
    </row>
    <row r="130" spans="1:24" hidden="1">
      <c r="A130" s="31" t="s">
        <v>147</v>
      </c>
      <c r="B130" s="33"/>
      <c r="C130" s="33"/>
      <c r="D130" s="34"/>
      <c r="E130" s="71"/>
      <c r="F130" s="72"/>
      <c r="G130" s="71"/>
      <c r="H130" s="72"/>
      <c r="I130" s="71"/>
      <c r="J130" s="72"/>
      <c r="K130" s="71"/>
      <c r="L130" s="72"/>
      <c r="M130" s="71"/>
      <c r="N130" s="72"/>
      <c r="O130" s="71"/>
      <c r="P130" s="72"/>
      <c r="Q130" s="71"/>
      <c r="R130" s="72"/>
      <c r="S130" s="71"/>
      <c r="T130" s="72"/>
      <c r="U130" s="71"/>
      <c r="V130" s="72"/>
      <c r="W130" s="71"/>
      <c r="X130" s="72"/>
    </row>
    <row r="131" spans="1:24" hidden="1">
      <c r="A131" s="31" t="s">
        <v>148</v>
      </c>
      <c r="B131" s="33"/>
      <c r="C131" s="33"/>
      <c r="D131" s="34"/>
      <c r="E131" s="71"/>
      <c r="F131" s="72"/>
      <c r="G131" s="71"/>
      <c r="H131" s="72"/>
      <c r="I131" s="71"/>
      <c r="J131" s="72"/>
      <c r="K131" s="71"/>
      <c r="L131" s="72"/>
      <c r="M131" s="71"/>
      <c r="N131" s="72"/>
      <c r="O131" s="71"/>
      <c r="P131" s="72"/>
      <c r="Q131" s="71"/>
      <c r="R131" s="72"/>
      <c r="S131" s="71"/>
      <c r="T131" s="72"/>
      <c r="U131" s="71"/>
      <c r="V131" s="72"/>
      <c r="W131" s="71"/>
      <c r="X131" s="72"/>
    </row>
    <row r="132" spans="1:24" hidden="1">
      <c r="A132" s="31" t="s">
        <v>149</v>
      </c>
      <c r="B132" s="33"/>
      <c r="C132" s="33"/>
      <c r="D132" s="34"/>
      <c r="E132" s="71"/>
      <c r="F132" s="72"/>
      <c r="G132" s="71"/>
      <c r="H132" s="72"/>
      <c r="I132" s="71"/>
      <c r="J132" s="72"/>
      <c r="K132" s="71"/>
      <c r="L132" s="72"/>
      <c r="M132" s="71"/>
      <c r="N132" s="72"/>
      <c r="O132" s="71"/>
      <c r="P132" s="72"/>
      <c r="Q132" s="71"/>
      <c r="R132" s="72"/>
      <c r="S132" s="71"/>
      <c r="T132" s="72"/>
      <c r="U132" s="71"/>
      <c r="V132" s="72"/>
      <c r="W132" s="71"/>
      <c r="X132" s="72"/>
    </row>
    <row r="133" spans="1:24" hidden="1">
      <c r="A133" s="31" t="s">
        <v>150</v>
      </c>
      <c r="B133" s="33"/>
      <c r="C133" s="33"/>
      <c r="D133" s="34"/>
      <c r="E133" s="71"/>
      <c r="F133" s="72"/>
      <c r="G133" s="71"/>
      <c r="H133" s="72"/>
      <c r="I133" s="71"/>
      <c r="J133" s="72"/>
      <c r="K133" s="71"/>
      <c r="L133" s="72"/>
      <c r="M133" s="71"/>
      <c r="N133" s="72"/>
      <c r="O133" s="71"/>
      <c r="P133" s="72"/>
      <c r="Q133" s="71"/>
      <c r="R133" s="72"/>
      <c r="S133" s="71"/>
      <c r="T133" s="72"/>
      <c r="U133" s="71"/>
      <c r="V133" s="72"/>
      <c r="W133" s="71"/>
      <c r="X133" s="72"/>
    </row>
    <row r="134" spans="1:24" hidden="1">
      <c r="A134" s="31" t="s">
        <v>151</v>
      </c>
      <c r="B134" s="33"/>
      <c r="C134" s="33"/>
      <c r="D134" s="34"/>
      <c r="E134" s="71"/>
      <c r="F134" s="72"/>
      <c r="G134" s="71"/>
      <c r="H134" s="72"/>
      <c r="I134" s="71"/>
      <c r="J134" s="72"/>
      <c r="K134" s="71"/>
      <c r="L134" s="72"/>
      <c r="M134" s="71"/>
      <c r="N134" s="72"/>
      <c r="O134" s="71"/>
      <c r="P134" s="72"/>
      <c r="Q134" s="71"/>
      <c r="R134" s="72"/>
      <c r="S134" s="71"/>
      <c r="T134" s="72"/>
      <c r="U134" s="71"/>
      <c r="V134" s="72"/>
      <c r="W134" s="71"/>
      <c r="X134" s="72"/>
    </row>
    <row r="135" spans="1:24" s="119" customFormat="1" hidden="1">
      <c r="A135" s="128"/>
      <c r="B135" s="129"/>
      <c r="C135" s="129"/>
      <c r="D135" s="130"/>
      <c r="E135" s="131"/>
      <c r="F135" s="132"/>
      <c r="G135" s="131"/>
      <c r="H135" s="132"/>
      <c r="I135" s="131"/>
      <c r="J135" s="132"/>
      <c r="K135" s="131"/>
      <c r="L135" s="132"/>
      <c r="M135" s="131"/>
      <c r="N135" s="132"/>
      <c r="O135" s="131"/>
      <c r="P135" s="132"/>
      <c r="Q135" s="131"/>
      <c r="R135" s="132"/>
      <c r="S135" s="131"/>
      <c r="T135" s="132"/>
      <c r="U135" s="131"/>
      <c r="V135" s="132"/>
      <c r="W135" s="131"/>
      <c r="X135" s="132"/>
    </row>
    <row r="136" spans="1:24" hidden="1">
      <c r="A136" s="78"/>
      <c r="B136" s="33"/>
      <c r="C136" s="33"/>
      <c r="D136" s="34"/>
      <c r="E136" s="71"/>
      <c r="F136" s="72"/>
      <c r="G136" s="71"/>
      <c r="H136" s="72"/>
      <c r="I136" s="71"/>
      <c r="J136" s="72"/>
      <c r="K136" s="71"/>
      <c r="L136" s="72"/>
      <c r="M136" s="71"/>
      <c r="N136" s="72"/>
      <c r="O136" s="71"/>
      <c r="P136" s="72"/>
      <c r="Q136" s="71"/>
      <c r="R136" s="72"/>
      <c r="S136" s="71"/>
      <c r="T136" s="72"/>
      <c r="U136" s="71"/>
      <c r="V136" s="72"/>
      <c r="W136" s="71"/>
      <c r="X136" s="72"/>
    </row>
    <row r="137" spans="1:24" hidden="1">
      <c r="A137" s="78"/>
      <c r="B137" s="33"/>
      <c r="C137" s="33"/>
      <c r="D137" s="34"/>
      <c r="E137" s="71"/>
      <c r="F137" s="72"/>
      <c r="G137" s="71"/>
      <c r="H137" s="72"/>
      <c r="I137" s="71"/>
      <c r="J137" s="72"/>
      <c r="K137" s="71"/>
      <c r="L137" s="72"/>
      <c r="M137" s="71"/>
      <c r="N137" s="72"/>
      <c r="O137" s="71"/>
      <c r="P137" s="72"/>
      <c r="Q137" s="71"/>
      <c r="R137" s="72"/>
      <c r="S137" s="71"/>
      <c r="T137" s="72"/>
      <c r="U137" s="71"/>
      <c r="V137" s="72"/>
      <c r="W137" s="71"/>
      <c r="X137" s="72"/>
    </row>
    <row r="138" spans="1:24" s="119" customFormat="1" hidden="1">
      <c r="A138" s="133" t="s">
        <v>152</v>
      </c>
      <c r="B138" s="93"/>
      <c r="C138" s="93"/>
      <c r="D138" s="94"/>
      <c r="E138" s="49"/>
      <c r="F138" s="29"/>
      <c r="G138" s="49"/>
      <c r="H138" s="29"/>
      <c r="I138" s="49"/>
      <c r="J138" s="29"/>
      <c r="K138" s="49"/>
      <c r="L138" s="29"/>
      <c r="M138" s="49"/>
      <c r="N138" s="29"/>
      <c r="O138" s="49"/>
      <c r="P138" s="29"/>
      <c r="Q138" s="49"/>
      <c r="R138" s="29"/>
      <c r="S138" s="49"/>
      <c r="T138" s="29"/>
      <c r="U138" s="49"/>
      <c r="V138" s="29"/>
      <c r="W138" s="49"/>
      <c r="X138" s="29"/>
    </row>
    <row r="139" spans="1:24" s="119" customFormat="1" ht="12.75" hidden="1" customHeight="1" outlineLevel="1">
      <c r="A139" s="134" t="s">
        <v>153</v>
      </c>
      <c r="B139" s="135"/>
      <c r="C139" s="96"/>
      <c r="D139" s="100"/>
      <c r="E139" s="28"/>
      <c r="F139" s="29"/>
      <c r="G139" s="28"/>
      <c r="H139" s="29"/>
      <c r="I139" s="28"/>
      <c r="J139" s="29"/>
      <c r="K139" s="28"/>
      <c r="L139" s="29"/>
      <c r="M139" s="28"/>
      <c r="N139" s="29"/>
      <c r="O139" s="28"/>
      <c r="P139" s="29"/>
      <c r="Q139" s="28"/>
      <c r="R139" s="29"/>
      <c r="S139" s="28"/>
      <c r="T139" s="29"/>
      <c r="U139" s="28"/>
      <c r="V139" s="29"/>
      <c r="W139" s="28"/>
      <c r="X139" s="29"/>
    </row>
    <row r="140" spans="1:24" s="119" customFormat="1" ht="12.75" hidden="1" customHeight="1" outlineLevel="1">
      <c r="A140" s="136" t="s">
        <v>154</v>
      </c>
      <c r="B140" s="137" t="s">
        <v>155</v>
      </c>
      <c r="C140" s="97"/>
      <c r="D140" s="97"/>
      <c r="E140" s="28"/>
      <c r="F140" s="29"/>
      <c r="G140" s="28"/>
      <c r="H140" s="29"/>
      <c r="I140" s="28"/>
      <c r="J140" s="29"/>
      <c r="K140" s="28"/>
      <c r="L140" s="29"/>
      <c r="M140" s="28"/>
      <c r="N140" s="29"/>
      <c r="O140" s="28"/>
      <c r="P140" s="29"/>
      <c r="Q140" s="28"/>
      <c r="R140" s="29"/>
      <c r="S140" s="28"/>
      <c r="T140" s="29"/>
      <c r="U140" s="28"/>
      <c r="V140" s="29"/>
      <c r="W140" s="28"/>
      <c r="X140" s="29"/>
    </row>
    <row r="141" spans="1:24" s="119" customFormat="1" ht="12.75" hidden="1" customHeight="1" outlineLevel="1">
      <c r="A141" s="136" t="s">
        <v>156</v>
      </c>
      <c r="B141" s="137" t="s">
        <v>157</v>
      </c>
      <c r="C141" s="97"/>
      <c r="D141" s="97"/>
      <c r="E141" s="28"/>
      <c r="F141" s="29"/>
      <c r="G141" s="28"/>
      <c r="H141" s="29"/>
      <c r="I141" s="28"/>
      <c r="J141" s="29"/>
      <c r="K141" s="28"/>
      <c r="L141" s="29"/>
      <c r="M141" s="28"/>
      <c r="N141" s="29"/>
      <c r="O141" s="28"/>
      <c r="P141" s="29"/>
      <c r="Q141" s="28"/>
      <c r="R141" s="29"/>
      <c r="S141" s="28"/>
      <c r="T141" s="29"/>
      <c r="U141" s="28"/>
      <c r="V141" s="29"/>
      <c r="W141" s="28"/>
      <c r="X141" s="29"/>
    </row>
    <row r="142" spans="1:24" s="119" customFormat="1" ht="12.75" hidden="1" customHeight="1" outlineLevel="1">
      <c r="A142" s="138"/>
      <c r="B142" s="137" t="s">
        <v>158</v>
      </c>
      <c r="C142" s="97"/>
      <c r="D142" s="97"/>
      <c r="E142" s="28"/>
      <c r="F142" s="29"/>
      <c r="G142" s="28"/>
      <c r="H142" s="29"/>
      <c r="I142" s="28"/>
      <c r="J142" s="29"/>
      <c r="K142" s="28"/>
      <c r="L142" s="29"/>
      <c r="M142" s="28"/>
      <c r="N142" s="29"/>
      <c r="O142" s="28"/>
      <c r="P142" s="29"/>
      <c r="Q142" s="28"/>
      <c r="R142" s="29"/>
      <c r="S142" s="28"/>
      <c r="T142" s="29"/>
      <c r="U142" s="28"/>
      <c r="V142" s="29"/>
      <c r="W142" s="28"/>
      <c r="X142" s="29"/>
    </row>
    <row r="143" spans="1:24" s="119" customFormat="1" ht="12.75" hidden="1" customHeight="1" outlineLevel="1">
      <c r="A143" s="138"/>
      <c r="B143" s="137" t="s">
        <v>159</v>
      </c>
      <c r="C143" s="97"/>
      <c r="D143" s="97"/>
      <c r="E143" s="28"/>
      <c r="F143" s="29"/>
      <c r="G143" s="28"/>
      <c r="H143" s="29"/>
      <c r="I143" s="28"/>
      <c r="J143" s="29"/>
      <c r="K143" s="28"/>
      <c r="L143" s="29"/>
      <c r="M143" s="28"/>
      <c r="N143" s="29"/>
      <c r="O143" s="28"/>
      <c r="P143" s="29"/>
      <c r="Q143" s="28"/>
      <c r="R143" s="29"/>
      <c r="S143" s="28"/>
      <c r="T143" s="29"/>
      <c r="U143" s="28"/>
      <c r="V143" s="29"/>
      <c r="W143" s="28"/>
      <c r="X143" s="29"/>
    </row>
    <row r="144" spans="1:24" s="119" customFormat="1" ht="12.75" hidden="1" customHeight="1" outlineLevel="1">
      <c r="A144" s="134" t="s">
        <v>160</v>
      </c>
      <c r="B144" s="135"/>
      <c r="C144" s="96"/>
      <c r="D144" s="100"/>
      <c r="E144" s="28"/>
      <c r="F144" s="41">
        <f>F12</f>
        <v>17.825822265657038</v>
      </c>
      <c r="G144" s="28"/>
      <c r="H144" s="29"/>
      <c r="I144" s="28"/>
      <c r="J144" s="29"/>
      <c r="K144" s="28"/>
      <c r="L144" s="29"/>
      <c r="M144" s="28"/>
      <c r="N144" s="29"/>
      <c r="O144" s="28"/>
      <c r="P144" s="29"/>
      <c r="Q144" s="28"/>
      <c r="R144" s="29"/>
      <c r="S144" s="28"/>
      <c r="T144" s="29"/>
      <c r="U144" s="28"/>
      <c r="V144" s="29"/>
      <c r="W144" s="28"/>
      <c r="X144" s="29"/>
    </row>
    <row r="145" spans="1:24" s="119" customFormat="1" ht="12.75" hidden="1" customHeight="1" outlineLevel="1">
      <c r="A145" s="134" t="s">
        <v>161</v>
      </c>
      <c r="B145" s="135"/>
      <c r="C145" s="96"/>
      <c r="D145" s="100"/>
      <c r="E145" s="28"/>
      <c r="F145" s="41"/>
      <c r="G145" s="28"/>
      <c r="H145" s="29"/>
      <c r="I145" s="28"/>
      <c r="J145" s="29"/>
      <c r="K145" s="28"/>
      <c r="L145" s="29"/>
      <c r="M145" s="28"/>
      <c r="N145" s="29"/>
      <c r="O145" s="28"/>
      <c r="P145" s="29"/>
      <c r="Q145" s="28"/>
      <c r="R145" s="29"/>
      <c r="S145" s="28"/>
      <c r="T145" s="29"/>
      <c r="U145" s="28"/>
      <c r="V145" s="29"/>
      <c r="W145" s="28"/>
      <c r="X145" s="29"/>
    </row>
    <row r="146" spans="1:24" s="119" customFormat="1" ht="12.75" hidden="1" customHeight="1" outlineLevel="1">
      <c r="A146" s="134" t="s">
        <v>162</v>
      </c>
      <c r="B146" s="135"/>
      <c r="C146" s="96"/>
      <c r="D146" s="100"/>
      <c r="E146" s="28"/>
      <c r="F146" s="41"/>
      <c r="G146" s="28"/>
      <c r="H146" s="29"/>
      <c r="I146" s="28"/>
      <c r="J146" s="29"/>
      <c r="K146" s="28"/>
      <c r="L146" s="29"/>
      <c r="M146" s="28"/>
      <c r="N146" s="29"/>
      <c r="O146" s="28"/>
      <c r="P146" s="29"/>
      <c r="Q146" s="28"/>
      <c r="R146" s="29"/>
      <c r="S146" s="28"/>
      <c r="T146" s="29"/>
      <c r="U146" s="28"/>
      <c r="V146" s="29"/>
      <c r="W146" s="28"/>
      <c r="X146" s="29"/>
    </row>
    <row r="147" spans="1:24" s="119" customFormat="1" ht="12.75" hidden="1" customHeight="1" outlineLevel="1">
      <c r="A147" s="134" t="s">
        <v>163</v>
      </c>
      <c r="B147" s="135"/>
      <c r="C147" s="96"/>
      <c r="D147" s="100"/>
      <c r="E147" s="28"/>
      <c r="F147" s="41"/>
      <c r="G147" s="28"/>
      <c r="H147" s="29"/>
      <c r="I147" s="28"/>
      <c r="J147" s="29"/>
      <c r="K147" s="28"/>
      <c r="L147" s="29"/>
      <c r="M147" s="28"/>
      <c r="N147" s="29"/>
      <c r="O147" s="28"/>
      <c r="P147" s="29"/>
      <c r="Q147" s="28"/>
      <c r="R147" s="29"/>
      <c r="S147" s="28"/>
      <c r="T147" s="29"/>
      <c r="U147" s="28"/>
      <c r="V147" s="29"/>
      <c r="W147" s="28"/>
      <c r="X147" s="29"/>
    </row>
    <row r="148" spans="1:24" s="119" customFormat="1" ht="12.75" hidden="1" customHeight="1" outlineLevel="1">
      <c r="A148" s="134" t="s">
        <v>164</v>
      </c>
      <c r="B148" s="135"/>
      <c r="C148" s="96"/>
      <c r="D148" s="100"/>
      <c r="E148" s="28"/>
      <c r="F148" s="41"/>
      <c r="G148" s="28"/>
      <c r="H148" s="29"/>
      <c r="I148" s="28"/>
      <c r="J148" s="29"/>
      <c r="K148" s="28"/>
      <c r="L148" s="29"/>
      <c r="M148" s="28"/>
      <c r="N148" s="29"/>
      <c r="O148" s="28"/>
      <c r="P148" s="29"/>
      <c r="Q148" s="28"/>
      <c r="R148" s="29"/>
      <c r="S148" s="28"/>
      <c r="T148" s="29"/>
      <c r="U148" s="28"/>
      <c r="V148" s="29"/>
      <c r="W148" s="28"/>
      <c r="X148" s="29"/>
    </row>
    <row r="149" spans="1:24" s="119" customFormat="1" hidden="1" collapsed="1">
      <c r="A149" s="139" t="s">
        <v>165</v>
      </c>
      <c r="B149" s="93"/>
      <c r="C149" s="93"/>
      <c r="D149" s="94"/>
      <c r="E149" s="49">
        <f>SUM(E150:E153)</f>
        <v>0</v>
      </c>
      <c r="F149" s="41">
        <f>SUM(F150:F153)</f>
        <v>17.825822265657038</v>
      </c>
      <c r="G149" s="49"/>
      <c r="H149" s="29"/>
      <c r="I149" s="49"/>
      <c r="J149" s="29"/>
      <c r="K149" s="49"/>
      <c r="L149" s="29"/>
      <c r="M149" s="49"/>
      <c r="N149" s="29"/>
      <c r="O149" s="49"/>
      <c r="P149" s="29"/>
      <c r="Q149" s="49"/>
      <c r="R149" s="29"/>
      <c r="S149" s="49"/>
      <c r="T149" s="29"/>
      <c r="U149" s="49"/>
      <c r="V149" s="29"/>
      <c r="W149" s="49"/>
      <c r="X149" s="29"/>
    </row>
    <row r="150" spans="1:24" s="119" customFormat="1" ht="12.75" hidden="1" customHeight="1" outlineLevel="1">
      <c r="A150" s="136" t="s">
        <v>154</v>
      </c>
      <c r="B150" s="137" t="s">
        <v>155</v>
      </c>
      <c r="C150" s="97"/>
      <c r="D150" s="97"/>
      <c r="E150" s="28"/>
      <c r="F150" s="41"/>
      <c r="G150" s="28"/>
      <c r="H150" s="29"/>
      <c r="I150" s="28"/>
      <c r="J150" s="29"/>
      <c r="K150" s="28"/>
      <c r="L150" s="29"/>
      <c r="M150" s="28"/>
      <c r="N150" s="29"/>
      <c r="O150" s="28"/>
      <c r="P150" s="29"/>
      <c r="Q150" s="28"/>
      <c r="R150" s="29"/>
      <c r="S150" s="28"/>
      <c r="T150" s="29"/>
      <c r="U150" s="28"/>
      <c r="V150" s="29"/>
      <c r="W150" s="28"/>
      <c r="X150" s="29"/>
    </row>
    <row r="151" spans="1:24" s="119" customFormat="1" ht="12.75" hidden="1" customHeight="1" outlineLevel="1">
      <c r="A151" s="136" t="s">
        <v>156</v>
      </c>
      <c r="B151" s="137" t="s">
        <v>157</v>
      </c>
      <c r="C151" s="97"/>
      <c r="D151" s="97"/>
      <c r="E151" s="28"/>
      <c r="F151" s="41">
        <f>F141+F144-F145</f>
        <v>17.825822265657038</v>
      </c>
      <c r="G151" s="28"/>
      <c r="H151" s="29"/>
      <c r="I151" s="28"/>
      <c r="J151" s="29"/>
      <c r="K151" s="28"/>
      <c r="L151" s="29"/>
      <c r="M151" s="28"/>
      <c r="N151" s="29"/>
      <c r="O151" s="28"/>
      <c r="P151" s="29"/>
      <c r="Q151" s="28"/>
      <c r="R151" s="29"/>
      <c r="S151" s="28"/>
      <c r="T151" s="29"/>
      <c r="U151" s="28"/>
      <c r="V151" s="29"/>
      <c r="W151" s="28"/>
      <c r="X151" s="29"/>
    </row>
    <row r="152" spans="1:24" s="119" customFormat="1" ht="12.75" hidden="1" customHeight="1" outlineLevel="1">
      <c r="A152" s="138"/>
      <c r="B152" s="137" t="s">
        <v>158</v>
      </c>
      <c r="C152" s="97"/>
      <c r="D152" s="97"/>
      <c r="E152" s="28"/>
      <c r="F152" s="41">
        <f>F142+F146-F147</f>
        <v>0</v>
      </c>
      <c r="G152" s="28"/>
      <c r="H152" s="29"/>
      <c r="I152" s="28"/>
      <c r="J152" s="29"/>
      <c r="K152" s="28"/>
      <c r="L152" s="29"/>
      <c r="M152" s="28"/>
      <c r="N152" s="29"/>
      <c r="O152" s="28"/>
      <c r="P152" s="29"/>
      <c r="Q152" s="28"/>
      <c r="R152" s="29"/>
      <c r="S152" s="28"/>
      <c r="T152" s="29"/>
      <c r="U152" s="28"/>
      <c r="V152" s="29"/>
      <c r="W152" s="28"/>
      <c r="X152" s="29"/>
    </row>
    <row r="153" spans="1:24" s="119" customFormat="1" ht="12.75" hidden="1" customHeight="1" outlineLevel="1">
      <c r="A153" s="138"/>
      <c r="B153" s="137" t="s">
        <v>159</v>
      </c>
      <c r="C153" s="97"/>
      <c r="D153" s="97"/>
      <c r="E153" s="28"/>
      <c r="F153" s="41"/>
      <c r="G153" s="28"/>
      <c r="H153" s="29"/>
      <c r="I153" s="28"/>
      <c r="J153" s="29"/>
      <c r="K153" s="28"/>
      <c r="L153" s="29"/>
      <c r="M153" s="28"/>
      <c r="N153" s="29"/>
      <c r="O153" s="28"/>
      <c r="P153" s="29"/>
      <c r="Q153" s="28"/>
      <c r="R153" s="29"/>
      <c r="S153" s="28"/>
      <c r="T153" s="29"/>
      <c r="U153" s="28"/>
      <c r="V153" s="29"/>
      <c r="W153" s="28"/>
      <c r="X153" s="29"/>
    </row>
    <row r="154" spans="1:24" s="119" customFormat="1" ht="12.75" hidden="1" customHeight="1" collapsed="1">
      <c r="A154" s="138"/>
      <c r="B154" s="137"/>
      <c r="C154" s="97"/>
      <c r="D154" s="97"/>
      <c r="E154" s="28"/>
      <c r="F154" s="41"/>
      <c r="G154" s="28"/>
      <c r="H154" s="29"/>
      <c r="I154" s="28"/>
      <c r="J154" s="29"/>
      <c r="K154" s="28"/>
      <c r="L154" s="29"/>
      <c r="M154" s="28"/>
      <c r="N154" s="29"/>
      <c r="O154" s="28"/>
      <c r="P154" s="29"/>
      <c r="Q154" s="28"/>
      <c r="R154" s="29"/>
      <c r="S154" s="28"/>
      <c r="T154" s="29"/>
      <c r="U154" s="28"/>
      <c r="V154" s="29"/>
      <c r="W154" s="28"/>
      <c r="X154" s="29"/>
    </row>
    <row r="155" spans="1:24" s="119" customFormat="1" hidden="1">
      <c r="A155" s="133" t="s">
        <v>166</v>
      </c>
      <c r="B155" s="93"/>
      <c r="C155" s="93"/>
      <c r="D155" s="94"/>
      <c r="E155" s="49">
        <f>SUM(E156:E158)</f>
        <v>0</v>
      </c>
      <c r="F155" s="41">
        <f>SUM(F156:F158)</f>
        <v>0</v>
      </c>
      <c r="G155" s="49"/>
      <c r="H155" s="29"/>
      <c r="I155" s="49"/>
      <c r="J155" s="29"/>
      <c r="K155" s="49"/>
      <c r="L155" s="29"/>
      <c r="M155" s="49"/>
      <c r="N155" s="29"/>
      <c r="O155" s="49"/>
      <c r="P155" s="29"/>
      <c r="Q155" s="49"/>
      <c r="R155" s="29"/>
      <c r="S155" s="49"/>
      <c r="T155" s="29"/>
      <c r="U155" s="49"/>
      <c r="V155" s="29"/>
      <c r="W155" s="49"/>
      <c r="X155" s="29"/>
    </row>
    <row r="156" spans="1:24" ht="12.75" hidden="1" customHeight="1" outlineLevel="1">
      <c r="A156" s="140"/>
      <c r="B156" s="141" t="s">
        <v>167</v>
      </c>
      <c r="C156" s="106"/>
      <c r="D156" s="106"/>
      <c r="E156" s="142"/>
      <c r="F156" s="143"/>
      <c r="G156" s="142"/>
      <c r="H156" s="72"/>
      <c r="I156" s="142"/>
      <c r="J156" s="72"/>
      <c r="K156" s="142"/>
      <c r="L156" s="72"/>
      <c r="M156" s="142"/>
      <c r="N156" s="72"/>
      <c r="O156" s="142"/>
      <c r="P156" s="72"/>
      <c r="Q156" s="142"/>
      <c r="R156" s="72"/>
      <c r="S156" s="142"/>
      <c r="T156" s="72"/>
      <c r="U156" s="142"/>
      <c r="V156" s="72"/>
      <c r="W156" s="142"/>
      <c r="X156" s="72"/>
    </row>
    <row r="157" spans="1:24" ht="12.75" hidden="1" customHeight="1" outlineLevel="1">
      <c r="A157" s="140"/>
      <c r="B157" s="141" t="s">
        <v>168</v>
      </c>
      <c r="C157" s="106"/>
      <c r="D157" s="106"/>
      <c r="E157" s="142"/>
      <c r="F157" s="143"/>
      <c r="G157" s="142"/>
      <c r="H157" s="72"/>
      <c r="I157" s="142"/>
      <c r="J157" s="72"/>
      <c r="K157" s="142"/>
      <c r="L157" s="72"/>
      <c r="M157" s="142"/>
      <c r="N157" s="72"/>
      <c r="O157" s="142"/>
      <c r="P157" s="72"/>
      <c r="Q157" s="142"/>
      <c r="R157" s="72"/>
      <c r="S157" s="142"/>
      <c r="T157" s="72"/>
      <c r="U157" s="142"/>
      <c r="V157" s="72"/>
      <c r="W157" s="142"/>
      <c r="X157" s="72"/>
    </row>
    <row r="158" spans="1:24" ht="12.75" hidden="1" customHeight="1" outlineLevel="1">
      <c r="A158" s="144"/>
      <c r="B158" s="141" t="s">
        <v>169</v>
      </c>
      <c r="C158" s="106"/>
      <c r="D158" s="106"/>
      <c r="E158" s="142"/>
      <c r="F158" s="143"/>
      <c r="G158" s="142"/>
      <c r="H158" s="72"/>
      <c r="I158" s="142"/>
      <c r="J158" s="72"/>
      <c r="K158" s="142"/>
      <c r="L158" s="72"/>
      <c r="M158" s="142"/>
      <c r="N158" s="72"/>
      <c r="O158" s="142"/>
      <c r="P158" s="72"/>
      <c r="Q158" s="142"/>
      <c r="R158" s="72"/>
      <c r="S158" s="142"/>
      <c r="T158" s="72"/>
      <c r="U158" s="142"/>
      <c r="V158" s="72"/>
      <c r="W158" s="142"/>
      <c r="X158" s="72"/>
    </row>
    <row r="159" spans="1:24" ht="12.75" hidden="1" customHeight="1" collapsed="1">
      <c r="A159" s="144"/>
      <c r="B159" s="141"/>
      <c r="C159" s="106"/>
      <c r="D159" s="106"/>
      <c r="E159" s="142"/>
      <c r="F159" s="143"/>
      <c r="G159" s="142"/>
      <c r="H159" s="72"/>
      <c r="I159" s="142"/>
      <c r="J159" s="72"/>
      <c r="K159" s="142"/>
      <c r="L159" s="72"/>
      <c r="M159" s="142"/>
      <c r="N159" s="72"/>
      <c r="O159" s="142"/>
      <c r="P159" s="72"/>
      <c r="Q159" s="142"/>
      <c r="R159" s="72"/>
      <c r="S159" s="142"/>
      <c r="T159" s="72"/>
      <c r="U159" s="142"/>
      <c r="V159" s="72"/>
      <c r="W159" s="142"/>
      <c r="X159" s="72"/>
    </row>
    <row r="160" spans="1:24" s="119" customFormat="1" hidden="1">
      <c r="A160" s="133" t="s">
        <v>170</v>
      </c>
      <c r="B160" s="93"/>
      <c r="C160" s="93"/>
      <c r="D160" s="94"/>
      <c r="E160" s="49">
        <f>E138+E155</f>
        <v>0</v>
      </c>
      <c r="F160" s="41">
        <f>F138+F155</f>
        <v>0</v>
      </c>
      <c r="G160" s="49"/>
      <c r="H160" s="29"/>
      <c r="I160" s="49"/>
      <c r="J160" s="29"/>
      <c r="K160" s="49"/>
      <c r="L160" s="29"/>
      <c r="M160" s="49"/>
      <c r="N160" s="29"/>
      <c r="O160" s="49"/>
      <c r="P160" s="29"/>
      <c r="Q160" s="49"/>
      <c r="R160" s="29"/>
      <c r="S160" s="49"/>
      <c r="T160" s="29"/>
      <c r="U160" s="49"/>
      <c r="V160" s="29"/>
      <c r="W160" s="49"/>
      <c r="X160" s="29"/>
    </row>
    <row r="161" spans="1:24" ht="12.75" hidden="1" customHeight="1">
      <c r="A161" s="47"/>
      <c r="B161" s="32"/>
      <c r="C161" s="33"/>
      <c r="D161" s="34"/>
      <c r="E161" s="142"/>
      <c r="F161" s="143"/>
      <c r="G161" s="142"/>
      <c r="H161" s="72"/>
      <c r="I161" s="142"/>
      <c r="J161" s="72"/>
      <c r="K161" s="142"/>
      <c r="L161" s="72"/>
      <c r="M161" s="142"/>
      <c r="N161" s="72"/>
      <c r="O161" s="142"/>
      <c r="P161" s="72"/>
      <c r="Q161" s="142"/>
      <c r="R161" s="72"/>
      <c r="S161" s="142"/>
      <c r="T161" s="72"/>
      <c r="U161" s="142"/>
      <c r="V161" s="72"/>
      <c r="W161" s="142"/>
      <c r="X161" s="72"/>
    </row>
    <row r="162" spans="1:24" s="119" customFormat="1" hidden="1">
      <c r="A162" s="133" t="s">
        <v>171</v>
      </c>
      <c r="B162" s="93"/>
      <c r="C162" s="93"/>
      <c r="D162" s="94"/>
      <c r="E162" s="49"/>
      <c r="F162" s="41"/>
      <c r="G162" s="49"/>
      <c r="H162" s="29"/>
      <c r="I162" s="49"/>
      <c r="J162" s="29"/>
      <c r="K162" s="49"/>
      <c r="L162" s="29"/>
      <c r="M162" s="49"/>
      <c r="N162" s="29"/>
      <c r="O162" s="49"/>
      <c r="P162" s="29"/>
      <c r="Q162" s="49"/>
      <c r="R162" s="29"/>
      <c r="S162" s="49"/>
      <c r="T162" s="29"/>
      <c r="U162" s="49"/>
      <c r="V162" s="29"/>
      <c r="W162" s="49"/>
      <c r="X162" s="29"/>
    </row>
    <row r="163" spans="1:24" ht="12.75" hidden="1" customHeight="1">
      <c r="A163" s="47"/>
      <c r="B163" s="32"/>
      <c r="C163" s="33"/>
      <c r="D163" s="34"/>
      <c r="E163" s="142"/>
      <c r="F163" s="143"/>
      <c r="G163" s="142"/>
      <c r="H163" s="72"/>
      <c r="I163" s="142"/>
      <c r="J163" s="72"/>
      <c r="K163" s="142"/>
      <c r="L163" s="72"/>
      <c r="M163" s="142"/>
      <c r="N163" s="72"/>
      <c r="O163" s="142"/>
      <c r="P163" s="72"/>
      <c r="Q163" s="142"/>
      <c r="R163" s="72"/>
      <c r="S163" s="142"/>
      <c r="T163" s="72"/>
      <c r="U163" s="142"/>
      <c r="V163" s="72"/>
      <c r="W163" s="142"/>
      <c r="X163" s="72"/>
    </row>
    <row r="164" spans="1:24" s="119" customFormat="1" hidden="1">
      <c r="A164" s="133" t="s">
        <v>172</v>
      </c>
      <c r="B164" s="93"/>
      <c r="C164" s="93"/>
      <c r="D164" s="94"/>
      <c r="E164" s="49"/>
      <c r="F164" s="41"/>
      <c r="G164" s="49"/>
      <c r="H164" s="29"/>
      <c r="I164" s="49"/>
      <c r="J164" s="29"/>
      <c r="K164" s="49"/>
      <c r="L164" s="29"/>
      <c r="M164" s="49"/>
      <c r="N164" s="29"/>
      <c r="O164" s="49"/>
      <c r="P164" s="29"/>
      <c r="Q164" s="49"/>
      <c r="R164" s="29"/>
      <c r="S164" s="49"/>
      <c r="T164" s="29"/>
      <c r="U164" s="49"/>
      <c r="V164" s="29"/>
      <c r="W164" s="49"/>
      <c r="X164" s="29"/>
    </row>
    <row r="165" spans="1:24" hidden="1">
      <c r="A165" s="144" t="s">
        <v>173</v>
      </c>
      <c r="B165" s="32"/>
      <c r="C165" s="33"/>
      <c r="D165" s="34"/>
      <c r="E165" s="142"/>
      <c r="F165" s="143"/>
      <c r="G165" s="142"/>
      <c r="H165" s="72"/>
      <c r="I165" s="142"/>
      <c r="J165" s="72"/>
      <c r="K165" s="142"/>
      <c r="L165" s="72"/>
      <c r="M165" s="142"/>
      <c r="N165" s="72"/>
      <c r="O165" s="142"/>
      <c r="P165" s="72"/>
      <c r="Q165" s="142"/>
      <c r="R165" s="72"/>
      <c r="S165" s="142"/>
      <c r="T165" s="72"/>
      <c r="U165" s="142"/>
      <c r="V165" s="72"/>
      <c r="W165" s="142"/>
      <c r="X165" s="72"/>
    </row>
    <row r="166" spans="1:24" ht="15" hidden="1" customHeight="1">
      <c r="A166" s="144" t="s">
        <v>174</v>
      </c>
      <c r="B166" s="32"/>
      <c r="C166" s="33"/>
      <c r="D166" s="34"/>
      <c r="E166" s="142"/>
      <c r="F166" s="143"/>
      <c r="G166" s="142"/>
      <c r="H166" s="72"/>
      <c r="I166" s="142"/>
      <c r="J166" s="72"/>
      <c r="K166" s="142"/>
      <c r="L166" s="72"/>
      <c r="M166" s="142"/>
      <c r="N166" s="72"/>
      <c r="O166" s="142"/>
      <c r="P166" s="72"/>
      <c r="Q166" s="142"/>
      <c r="R166" s="72"/>
      <c r="S166" s="142"/>
      <c r="T166" s="72"/>
      <c r="U166" s="142"/>
      <c r="V166" s="72"/>
      <c r="W166" s="142"/>
      <c r="X166" s="72"/>
    </row>
    <row r="167" spans="1:24" s="1" customFormat="1" ht="15" hidden="1" customHeight="1">
      <c r="A167" s="145" t="s">
        <v>175</v>
      </c>
      <c r="B167" s="146"/>
      <c r="C167" s="53"/>
      <c r="D167" s="66"/>
      <c r="E167" s="147">
        <f>E165+E166</f>
        <v>0</v>
      </c>
      <c r="F167" s="148">
        <f>F165+F166</f>
        <v>0</v>
      </c>
      <c r="G167" s="147"/>
      <c r="H167" s="69"/>
      <c r="I167" s="147"/>
      <c r="J167" s="69"/>
      <c r="K167" s="147"/>
      <c r="L167" s="69"/>
      <c r="M167" s="147"/>
      <c r="N167" s="69"/>
      <c r="O167" s="147"/>
      <c r="P167" s="69"/>
      <c r="Q167" s="147"/>
      <c r="R167" s="69"/>
      <c r="S167" s="147"/>
      <c r="T167" s="69"/>
      <c r="U167" s="147"/>
      <c r="V167" s="69"/>
      <c r="W167" s="147"/>
      <c r="X167" s="69"/>
    </row>
    <row r="168" spans="1:24" ht="15" hidden="1" customHeight="1">
      <c r="A168" s="144"/>
      <c r="B168" s="32"/>
      <c r="C168" s="33"/>
      <c r="D168" s="34"/>
      <c r="E168" s="142"/>
      <c r="F168" s="143"/>
      <c r="G168" s="142"/>
      <c r="H168" s="72"/>
      <c r="I168" s="142"/>
      <c r="J168" s="72"/>
      <c r="K168" s="142"/>
      <c r="L168" s="72"/>
      <c r="M168" s="142"/>
      <c r="N168" s="72"/>
      <c r="O168" s="142"/>
      <c r="P168" s="72"/>
      <c r="Q168" s="142"/>
      <c r="R168" s="72"/>
      <c r="S168" s="142"/>
      <c r="T168" s="72"/>
      <c r="U168" s="142"/>
      <c r="V168" s="72"/>
      <c r="W168" s="142"/>
      <c r="X168" s="72"/>
    </row>
    <row r="169" spans="1:24" ht="12.75" hidden="1" customHeight="1">
      <c r="A169" s="133" t="s">
        <v>176</v>
      </c>
      <c r="B169" s="32"/>
      <c r="C169" s="33"/>
      <c r="D169" s="34"/>
      <c r="E169" s="147">
        <f>SUM(E170:E174)</f>
        <v>0</v>
      </c>
      <c r="F169" s="143">
        <f>SUM(F170:F174)</f>
        <v>0</v>
      </c>
      <c r="G169" s="142"/>
      <c r="H169" s="72"/>
      <c r="I169" s="142"/>
      <c r="J169" s="72"/>
      <c r="K169" s="142"/>
      <c r="L169" s="72"/>
      <c r="M169" s="142"/>
      <c r="N169" s="72"/>
      <c r="O169" s="142"/>
      <c r="P169" s="72"/>
      <c r="Q169" s="142"/>
      <c r="R169" s="72"/>
      <c r="S169" s="142"/>
      <c r="T169" s="72"/>
      <c r="U169" s="142"/>
      <c r="V169" s="72"/>
      <c r="W169" s="142"/>
      <c r="X169" s="72"/>
    </row>
    <row r="170" spans="1:24" hidden="1">
      <c r="A170" s="144" t="s">
        <v>177</v>
      </c>
      <c r="B170" s="32"/>
      <c r="C170" s="33"/>
      <c r="D170" s="34"/>
      <c r="E170" s="142"/>
      <c r="F170" s="143"/>
      <c r="G170" s="142"/>
      <c r="H170" s="72"/>
      <c r="I170" s="142"/>
      <c r="J170" s="72"/>
      <c r="K170" s="142"/>
      <c r="L170" s="72"/>
      <c r="M170" s="142"/>
      <c r="N170" s="72"/>
      <c r="O170" s="142"/>
      <c r="P170" s="72"/>
      <c r="Q170" s="142"/>
      <c r="R170" s="72"/>
      <c r="S170" s="142"/>
      <c r="T170" s="72"/>
      <c r="U170" s="142"/>
      <c r="V170" s="72"/>
      <c r="W170" s="142"/>
      <c r="X170" s="72"/>
    </row>
    <row r="171" spans="1:24" ht="15" hidden="1" customHeight="1">
      <c r="A171" s="144" t="s">
        <v>178</v>
      </c>
      <c r="B171" s="32"/>
      <c r="C171" s="33"/>
      <c r="D171" s="34"/>
      <c r="E171" s="142"/>
      <c r="F171" s="143"/>
      <c r="G171" s="142"/>
      <c r="H171" s="72"/>
      <c r="I171" s="142"/>
      <c r="J171" s="72"/>
      <c r="K171" s="142"/>
      <c r="L171" s="72"/>
      <c r="M171" s="142"/>
      <c r="N171" s="72"/>
      <c r="O171" s="142"/>
      <c r="P171" s="72"/>
      <c r="Q171" s="142"/>
      <c r="R171" s="72"/>
      <c r="S171" s="142"/>
      <c r="T171" s="72"/>
      <c r="U171" s="142"/>
      <c r="V171" s="72"/>
      <c r="W171" s="142"/>
      <c r="X171" s="72"/>
    </row>
    <row r="172" spans="1:24" ht="15" hidden="1" customHeight="1">
      <c r="A172" s="144" t="s">
        <v>179</v>
      </c>
      <c r="B172" s="32"/>
      <c r="C172" s="33"/>
      <c r="D172" s="34"/>
      <c r="E172" s="142"/>
      <c r="F172" s="143"/>
      <c r="G172" s="142"/>
      <c r="H172" s="72"/>
      <c r="I172" s="142"/>
      <c r="J172" s="72"/>
      <c r="K172" s="142"/>
      <c r="L172" s="72"/>
      <c r="M172" s="142"/>
      <c r="N172" s="72"/>
      <c r="O172" s="142"/>
      <c r="P172" s="72"/>
      <c r="Q172" s="142"/>
      <c r="R172" s="72"/>
      <c r="S172" s="142"/>
      <c r="T172" s="72"/>
      <c r="U172" s="142"/>
      <c r="V172" s="72"/>
      <c r="W172" s="142"/>
      <c r="X172" s="72"/>
    </row>
    <row r="173" spans="1:24" ht="15" hidden="1" customHeight="1">
      <c r="A173" s="144" t="s">
        <v>180</v>
      </c>
      <c r="B173" s="32"/>
      <c r="C173" s="33"/>
      <c r="D173" s="34"/>
      <c r="E173" s="142"/>
      <c r="F173" s="143"/>
      <c r="G173" s="142"/>
      <c r="H173" s="72"/>
      <c r="I173" s="142"/>
      <c r="J173" s="72"/>
      <c r="K173" s="142"/>
      <c r="L173" s="72"/>
      <c r="M173" s="142"/>
      <c r="N173" s="72"/>
      <c r="O173" s="142"/>
      <c r="P173" s="72"/>
      <c r="Q173" s="142"/>
      <c r="R173" s="72"/>
      <c r="S173" s="142"/>
      <c r="T173" s="72"/>
      <c r="U173" s="142"/>
      <c r="V173" s="72"/>
      <c r="W173" s="142"/>
      <c r="X173" s="72"/>
    </row>
    <row r="174" spans="1:24" ht="15" hidden="1" customHeight="1">
      <c r="A174" s="144" t="s">
        <v>159</v>
      </c>
      <c r="B174" s="33"/>
      <c r="C174" s="33"/>
      <c r="D174" s="34"/>
      <c r="E174" s="142"/>
      <c r="F174" s="143"/>
      <c r="G174" s="142"/>
      <c r="H174" s="72"/>
      <c r="I174" s="142"/>
      <c r="J174" s="72"/>
      <c r="K174" s="142"/>
      <c r="L174" s="72"/>
      <c r="M174" s="142"/>
      <c r="N174" s="72"/>
      <c r="O174" s="142"/>
      <c r="P174" s="72"/>
      <c r="Q174" s="142"/>
      <c r="R174" s="72"/>
      <c r="S174" s="142"/>
      <c r="T174" s="72"/>
      <c r="U174" s="142"/>
      <c r="V174" s="72"/>
      <c r="W174" s="142"/>
      <c r="X174" s="72"/>
    </row>
    <row r="175" spans="1:24" ht="12.75" hidden="1" customHeight="1">
      <c r="A175" s="47"/>
      <c r="B175" s="33"/>
      <c r="C175" s="33"/>
      <c r="D175" s="34"/>
      <c r="E175" s="142"/>
      <c r="F175" s="143"/>
      <c r="G175" s="142"/>
      <c r="H175" s="72"/>
      <c r="I175" s="142"/>
      <c r="J175" s="72"/>
      <c r="K175" s="142"/>
      <c r="L175" s="72"/>
      <c r="M175" s="142"/>
      <c r="N175" s="72"/>
      <c r="O175" s="142"/>
      <c r="P175" s="72"/>
      <c r="Q175" s="142"/>
      <c r="R175" s="72"/>
      <c r="S175" s="142"/>
      <c r="T175" s="72"/>
      <c r="U175" s="142"/>
      <c r="V175" s="72"/>
      <c r="W175" s="142"/>
      <c r="X175" s="72"/>
    </row>
    <row r="176" spans="1:24" hidden="1">
      <c r="A176" s="108" t="s">
        <v>181</v>
      </c>
      <c r="B176" s="116"/>
      <c r="C176" s="116"/>
      <c r="D176" s="117"/>
      <c r="E176" s="83">
        <f>E169+E167+E162+E160</f>
        <v>0</v>
      </c>
      <c r="F176" s="149">
        <f>F169+F167+F162+F160</f>
        <v>0</v>
      </c>
      <c r="G176" s="83"/>
      <c r="H176" s="84"/>
      <c r="I176" s="83"/>
      <c r="J176" s="84"/>
      <c r="K176" s="83"/>
      <c r="L176" s="84"/>
      <c r="M176" s="83"/>
      <c r="N176" s="84"/>
      <c r="O176" s="83"/>
      <c r="P176" s="84"/>
      <c r="Q176" s="83"/>
      <c r="R176" s="84"/>
      <c r="S176" s="83"/>
      <c r="T176" s="84"/>
      <c r="U176" s="83"/>
      <c r="V176" s="84"/>
      <c r="W176" s="83"/>
      <c r="X176" s="84"/>
    </row>
    <row r="177" spans="1:24" ht="12.75" hidden="1" customHeight="1">
      <c r="A177" s="47"/>
      <c r="B177" s="33"/>
      <c r="C177" s="33"/>
      <c r="D177" s="34"/>
      <c r="E177" s="142"/>
      <c r="F177" s="143"/>
      <c r="G177" s="142"/>
      <c r="H177" s="72"/>
      <c r="I177" s="142"/>
      <c r="J177" s="72"/>
      <c r="K177" s="142"/>
      <c r="L177" s="72"/>
      <c r="M177" s="142"/>
      <c r="N177" s="72"/>
      <c r="O177" s="142"/>
      <c r="P177" s="72"/>
      <c r="Q177" s="142"/>
      <c r="R177" s="72"/>
      <c r="S177" s="142"/>
      <c r="T177" s="72"/>
      <c r="U177" s="142"/>
      <c r="V177" s="72"/>
      <c r="W177" s="142"/>
      <c r="X177" s="72"/>
    </row>
    <row r="178" spans="1:24" s="119" customFormat="1" hidden="1">
      <c r="A178" s="133" t="s">
        <v>182</v>
      </c>
      <c r="B178" s="93"/>
      <c r="C178" s="93"/>
      <c r="D178" s="94"/>
      <c r="E178" s="49"/>
      <c r="F178" s="41"/>
      <c r="G178" s="49"/>
      <c r="H178" s="29"/>
      <c r="I178" s="49"/>
      <c r="J178" s="29"/>
      <c r="K178" s="49"/>
      <c r="L178" s="29"/>
      <c r="M178" s="49"/>
      <c r="N178" s="29"/>
      <c r="O178" s="49"/>
      <c r="P178" s="29"/>
      <c r="Q178" s="49"/>
      <c r="R178" s="29"/>
      <c r="S178" s="49"/>
      <c r="T178" s="29"/>
      <c r="U178" s="49"/>
      <c r="V178" s="29"/>
      <c r="W178" s="49"/>
      <c r="X178" s="29"/>
    </row>
    <row r="179" spans="1:24" s="119" customFormat="1" ht="12.75" hidden="1" customHeight="1">
      <c r="A179" s="150"/>
      <c r="B179" s="135"/>
      <c r="C179" s="96"/>
      <c r="D179" s="100"/>
      <c r="E179" s="28"/>
      <c r="F179" s="41"/>
      <c r="G179" s="28"/>
      <c r="H179" s="29"/>
      <c r="I179" s="28"/>
      <c r="J179" s="29"/>
      <c r="K179" s="28"/>
      <c r="L179" s="29"/>
      <c r="M179" s="28"/>
      <c r="N179" s="29"/>
      <c r="O179" s="28"/>
      <c r="P179" s="29"/>
      <c r="Q179" s="28"/>
      <c r="R179" s="29"/>
      <c r="S179" s="28"/>
      <c r="T179" s="29"/>
      <c r="U179" s="28"/>
      <c r="V179" s="29"/>
      <c r="W179" s="28"/>
      <c r="X179" s="29"/>
    </row>
    <row r="180" spans="1:24" s="119" customFormat="1" ht="12.75" hidden="1" customHeight="1">
      <c r="A180" s="133" t="s">
        <v>183</v>
      </c>
      <c r="B180" s="96"/>
      <c r="C180" s="96"/>
      <c r="D180" s="100"/>
      <c r="E180" s="28"/>
      <c r="F180" s="41"/>
      <c r="G180" s="28"/>
      <c r="H180" s="29"/>
      <c r="I180" s="28"/>
      <c r="J180" s="29"/>
      <c r="K180" s="28"/>
      <c r="L180" s="29"/>
      <c r="M180" s="28"/>
      <c r="N180" s="29"/>
      <c r="O180" s="28"/>
      <c r="P180" s="29"/>
      <c r="Q180" s="28"/>
      <c r="R180" s="29"/>
      <c r="S180" s="28"/>
      <c r="T180" s="29"/>
      <c r="U180" s="28"/>
      <c r="V180" s="29"/>
      <c r="W180" s="28"/>
      <c r="X180" s="29"/>
    </row>
    <row r="181" spans="1:24" s="119" customFormat="1" ht="12.75" hidden="1" customHeight="1">
      <c r="A181" s="150"/>
      <c r="B181" s="96"/>
      <c r="C181" s="96"/>
      <c r="D181" s="100"/>
      <c r="E181" s="28"/>
      <c r="F181" s="41"/>
      <c r="G181" s="28"/>
      <c r="H181" s="29"/>
      <c r="I181" s="28"/>
      <c r="J181" s="29"/>
      <c r="K181" s="28"/>
      <c r="L181" s="29"/>
      <c r="M181" s="28"/>
      <c r="N181" s="29"/>
      <c r="O181" s="28"/>
      <c r="P181" s="29"/>
      <c r="Q181" s="28"/>
      <c r="R181" s="29"/>
      <c r="S181" s="28"/>
      <c r="T181" s="29"/>
      <c r="U181" s="28"/>
      <c r="V181" s="29"/>
      <c r="W181" s="28"/>
      <c r="X181" s="29"/>
    </row>
    <row r="182" spans="1:24" s="119" customFormat="1" hidden="1">
      <c r="A182" s="133" t="s">
        <v>184</v>
      </c>
      <c r="B182" s="93"/>
      <c r="C182" s="93"/>
      <c r="D182" s="94"/>
      <c r="E182" s="49">
        <f>SUM(E183:E184)</f>
        <v>0</v>
      </c>
      <c r="F182" s="41">
        <f>SUM(F183:F184)</f>
        <v>0</v>
      </c>
      <c r="G182" s="49"/>
      <c r="H182" s="29"/>
      <c r="I182" s="49"/>
      <c r="J182" s="29"/>
      <c r="K182" s="49"/>
      <c r="L182" s="29"/>
      <c r="M182" s="49"/>
      <c r="N182" s="29"/>
      <c r="O182" s="49"/>
      <c r="P182" s="29"/>
      <c r="Q182" s="49"/>
      <c r="R182" s="29"/>
      <c r="S182" s="49"/>
      <c r="T182" s="29"/>
      <c r="U182" s="49"/>
      <c r="V182" s="29"/>
      <c r="W182" s="49"/>
      <c r="X182" s="29"/>
    </row>
    <row r="183" spans="1:24" s="119" customFormat="1" hidden="1">
      <c r="A183" s="144" t="s">
        <v>177</v>
      </c>
      <c r="B183" s="32" t="s">
        <v>185</v>
      </c>
      <c r="C183" s="33"/>
      <c r="D183" s="34"/>
      <c r="E183" s="49"/>
      <c r="F183" s="41"/>
      <c r="G183" s="49"/>
      <c r="H183" s="29"/>
      <c r="I183" s="49"/>
      <c r="J183" s="29"/>
      <c r="K183" s="49"/>
      <c r="L183" s="29"/>
      <c r="M183" s="49"/>
      <c r="N183" s="29"/>
      <c r="O183" s="49"/>
      <c r="P183" s="29"/>
      <c r="Q183" s="49"/>
      <c r="R183" s="29"/>
      <c r="S183" s="49"/>
      <c r="T183" s="29"/>
      <c r="U183" s="49"/>
      <c r="V183" s="29"/>
      <c r="W183" s="49"/>
      <c r="X183" s="29"/>
    </row>
    <row r="184" spans="1:24" ht="12.75" hidden="1" customHeight="1">
      <c r="A184" s="144" t="s">
        <v>178</v>
      </c>
      <c r="B184" s="32" t="s">
        <v>186</v>
      </c>
      <c r="C184" s="33"/>
      <c r="D184" s="34"/>
      <c r="E184" s="142"/>
      <c r="F184" s="143"/>
      <c r="G184" s="142"/>
      <c r="H184" s="72"/>
      <c r="I184" s="142"/>
      <c r="J184" s="72"/>
      <c r="K184" s="142"/>
      <c r="L184" s="72"/>
      <c r="M184" s="142"/>
      <c r="N184" s="72"/>
      <c r="O184" s="142"/>
      <c r="P184" s="72"/>
      <c r="Q184" s="142"/>
      <c r="R184" s="72"/>
      <c r="S184" s="142"/>
      <c r="T184" s="72"/>
      <c r="U184" s="142"/>
      <c r="V184" s="72"/>
      <c r="W184" s="142"/>
      <c r="X184" s="72"/>
    </row>
    <row r="185" spans="1:24" ht="12.75" hidden="1" customHeight="1">
      <c r="A185" s="47"/>
      <c r="B185" s="33"/>
      <c r="C185" s="33"/>
      <c r="D185" s="34"/>
      <c r="E185" s="142"/>
      <c r="F185" s="143"/>
      <c r="G185" s="142"/>
      <c r="H185" s="72"/>
      <c r="I185" s="142"/>
      <c r="J185" s="72"/>
      <c r="K185" s="142"/>
      <c r="L185" s="72"/>
      <c r="M185" s="142"/>
      <c r="N185" s="72"/>
      <c r="O185" s="142"/>
      <c r="P185" s="72"/>
      <c r="Q185" s="142"/>
      <c r="R185" s="72"/>
      <c r="S185" s="142"/>
      <c r="T185" s="72"/>
      <c r="U185" s="142"/>
      <c r="V185" s="72"/>
      <c r="W185" s="142"/>
      <c r="X185" s="72"/>
    </row>
    <row r="186" spans="1:24" hidden="1">
      <c r="A186" s="108" t="s">
        <v>187</v>
      </c>
      <c r="B186" s="116"/>
      <c r="C186" s="116"/>
      <c r="D186" s="117"/>
      <c r="E186" s="83">
        <f>E182+E178</f>
        <v>0</v>
      </c>
      <c r="F186" s="149">
        <f>F182+F178</f>
        <v>0</v>
      </c>
      <c r="G186" s="83"/>
      <c r="H186" s="84"/>
      <c r="I186" s="83"/>
      <c r="J186" s="84"/>
      <c r="K186" s="83"/>
      <c r="L186" s="84"/>
      <c r="M186" s="83"/>
      <c r="N186" s="84"/>
      <c r="O186" s="83"/>
      <c r="P186" s="84"/>
      <c r="Q186" s="83"/>
      <c r="R186" s="84"/>
      <c r="S186" s="83"/>
      <c r="T186" s="84"/>
      <c r="U186" s="83"/>
      <c r="V186" s="84"/>
      <c r="W186" s="83"/>
      <c r="X186" s="84"/>
    </row>
    <row r="187" spans="1:24" s="119" customFormat="1" hidden="1">
      <c r="A187" s="128"/>
      <c r="B187" s="129"/>
      <c r="C187" s="129"/>
      <c r="D187" s="130"/>
      <c r="E187" s="131"/>
      <c r="F187" s="151"/>
      <c r="G187" s="131"/>
      <c r="H187" s="132"/>
      <c r="I187" s="131"/>
      <c r="J187" s="132"/>
      <c r="K187" s="131"/>
      <c r="L187" s="132"/>
      <c r="M187" s="131"/>
      <c r="N187" s="132"/>
      <c r="O187" s="131"/>
      <c r="P187" s="132"/>
      <c r="Q187" s="131"/>
      <c r="R187" s="132"/>
      <c r="S187" s="131"/>
      <c r="T187" s="132"/>
      <c r="U187" s="131"/>
      <c r="V187" s="132"/>
      <c r="W187" s="131"/>
      <c r="X187" s="132"/>
    </row>
    <row r="188" spans="1:24" hidden="1">
      <c r="F188" s="152"/>
    </row>
    <row r="189" spans="1:24" hidden="1">
      <c r="B189" s="1"/>
      <c r="C189" s="1"/>
      <c r="D189" s="153"/>
      <c r="F189" s="152"/>
    </row>
    <row r="190" spans="1:24" hidden="1">
      <c r="F190" s="152"/>
    </row>
    <row r="191" spans="1:24">
      <c r="F191" s="152"/>
      <c r="R191" s="154"/>
      <c r="S191" s="154"/>
      <c r="T191" s="154"/>
      <c r="U191" s="154"/>
      <c r="V191" s="154"/>
      <c r="W191" s="155"/>
      <c r="X191" s="154"/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"/>
  <sheetViews>
    <sheetView tabSelected="1" workbookViewId="0">
      <selection activeCell="E19" sqref="E19"/>
    </sheetView>
  </sheetViews>
  <sheetFormatPr defaultRowHeight="15"/>
  <cols>
    <col min="1" max="1" width="1.7109375" customWidth="1"/>
    <col min="2" max="2" width="26.7109375" customWidth="1"/>
    <col min="3" max="3" width="14.140625" bestFit="1" customWidth="1"/>
    <col min="4" max="4" width="16" bestFit="1" customWidth="1"/>
    <col min="5" max="10" width="12" bestFit="1" customWidth="1"/>
  </cols>
  <sheetData>
    <row r="1" spans="1:10" ht="30">
      <c r="C1" s="157" t="s">
        <v>204</v>
      </c>
      <c r="D1" s="158"/>
      <c r="E1" s="160" t="s">
        <v>188</v>
      </c>
      <c r="F1" s="160"/>
      <c r="G1" s="160" t="s">
        <v>218</v>
      </c>
      <c r="H1" s="160"/>
      <c r="I1" s="160" t="s">
        <v>219</v>
      </c>
      <c r="J1" s="160"/>
    </row>
    <row r="2" spans="1:10">
      <c r="C2" s="158"/>
      <c r="D2" s="158"/>
      <c r="E2" s="160" t="s">
        <v>217</v>
      </c>
      <c r="F2" s="160"/>
      <c r="G2" s="160" t="s">
        <v>217</v>
      </c>
      <c r="H2" s="160"/>
      <c r="I2" s="160" t="s">
        <v>217</v>
      </c>
      <c r="J2" s="160"/>
    </row>
    <row r="3" spans="1:10">
      <c r="C3" s="158" t="s">
        <v>12</v>
      </c>
      <c r="D3" s="158"/>
      <c r="E3" s="159" t="s">
        <v>215</v>
      </c>
      <c r="F3" s="159" t="s">
        <v>216</v>
      </c>
      <c r="G3" s="159" t="s">
        <v>215</v>
      </c>
      <c r="H3" s="159" t="s">
        <v>216</v>
      </c>
      <c r="I3" s="159" t="s">
        <v>215</v>
      </c>
      <c r="J3" s="159" t="s">
        <v>216</v>
      </c>
    </row>
    <row r="4" spans="1:10">
      <c r="A4" s="1" t="s">
        <v>190</v>
      </c>
      <c r="B4" s="1"/>
      <c r="C4" s="158"/>
      <c r="D4" s="158"/>
    </row>
    <row r="5" spans="1:10">
      <c r="B5" t="s">
        <v>206</v>
      </c>
      <c r="C5" s="158" t="s">
        <v>191</v>
      </c>
      <c r="D5" s="158" t="s">
        <v>205</v>
      </c>
      <c r="E5">
        <f t="shared" ref="E5:J9" ca="1" si="0">RAND()</f>
        <v>0.59875528744043849</v>
      </c>
      <c r="F5">
        <f t="shared" ca="1" si="0"/>
        <v>0.99319737882071291</v>
      </c>
      <c r="G5">
        <f t="shared" ca="1" si="0"/>
        <v>0.52500318487859232</v>
      </c>
      <c r="H5">
        <f t="shared" ca="1" si="0"/>
        <v>0.64709341790846975</v>
      </c>
      <c r="I5">
        <f t="shared" ca="1" si="0"/>
        <v>0.10317306415886485</v>
      </c>
      <c r="J5">
        <f t="shared" ca="1" si="0"/>
        <v>4.2925412896916981E-3</v>
      </c>
    </row>
    <row r="6" spans="1:10">
      <c r="B6" t="s">
        <v>207</v>
      </c>
      <c r="C6" s="158" t="s">
        <v>191</v>
      </c>
      <c r="D6" s="158" t="s">
        <v>205</v>
      </c>
      <c r="E6">
        <f t="shared" ca="1" si="0"/>
        <v>4.1676413163473924E-3</v>
      </c>
      <c r="F6">
        <f t="shared" ca="1" si="0"/>
        <v>0.12592980677868781</v>
      </c>
      <c r="G6">
        <f t="shared" ca="1" si="0"/>
        <v>0.5592378880983111</v>
      </c>
      <c r="H6">
        <f t="shared" ca="1" si="0"/>
        <v>0.77614227613951692</v>
      </c>
      <c r="I6">
        <f t="shared" ca="1" si="0"/>
        <v>2.0658469621949394E-2</v>
      </c>
      <c r="J6">
        <f t="shared" ca="1" si="0"/>
        <v>0.65953987450669804</v>
      </c>
    </row>
    <row r="7" spans="1:10">
      <c r="B7" t="s">
        <v>208</v>
      </c>
      <c r="C7" s="158" t="s">
        <v>192</v>
      </c>
      <c r="D7" s="158" t="s">
        <v>205</v>
      </c>
      <c r="E7">
        <f t="shared" ca="1" si="0"/>
        <v>0.40585286655127728</v>
      </c>
      <c r="F7">
        <f t="shared" ca="1" si="0"/>
        <v>0.69391060610292277</v>
      </c>
      <c r="G7">
        <f t="shared" ca="1" si="0"/>
        <v>0.29423131130789049</v>
      </c>
      <c r="H7">
        <f t="shared" ca="1" si="0"/>
        <v>0.61852798468658854</v>
      </c>
      <c r="I7">
        <f t="shared" ca="1" si="0"/>
        <v>0.38902508048169104</v>
      </c>
      <c r="J7">
        <f t="shared" ca="1" si="0"/>
        <v>0.75976551323547548</v>
      </c>
    </row>
    <row r="8" spans="1:10">
      <c r="B8" t="s">
        <v>209</v>
      </c>
      <c r="C8" s="158" t="s">
        <v>191</v>
      </c>
      <c r="D8" s="158" t="s">
        <v>205</v>
      </c>
      <c r="E8">
        <f t="shared" ca="1" si="0"/>
        <v>4.4647118472534331E-2</v>
      </c>
      <c r="F8">
        <f t="shared" ca="1" si="0"/>
        <v>0.76859673046913723</v>
      </c>
      <c r="G8">
        <f t="shared" ca="1" si="0"/>
        <v>0.43302128073888024</v>
      </c>
      <c r="H8">
        <f t="shared" ca="1" si="0"/>
        <v>0.68936352041007698</v>
      </c>
      <c r="I8">
        <f t="shared" ca="1" si="0"/>
        <v>0.16606149349846167</v>
      </c>
      <c r="J8">
        <f t="shared" ca="1" si="0"/>
        <v>0.27353098549864185</v>
      </c>
    </row>
    <row r="9" spans="1:10">
      <c r="B9" t="s">
        <v>209</v>
      </c>
      <c r="C9" s="158" t="s">
        <v>193</v>
      </c>
      <c r="D9" s="158" t="s">
        <v>205</v>
      </c>
      <c r="E9">
        <f t="shared" ca="1" si="0"/>
        <v>0.48200617684264913</v>
      </c>
      <c r="F9">
        <f t="shared" ca="1" si="0"/>
        <v>0.97773137628623319</v>
      </c>
      <c r="G9">
        <f t="shared" ca="1" si="0"/>
        <v>0.24028922009372566</v>
      </c>
      <c r="H9">
        <f t="shared" ca="1" si="0"/>
        <v>0.14792378709930443</v>
      </c>
      <c r="I9">
        <f t="shared" ca="1" si="0"/>
        <v>0.92998051288073658</v>
      </c>
      <c r="J9">
        <f t="shared" ca="1" si="0"/>
        <v>0.87350144055657797</v>
      </c>
    </row>
    <row r="10" spans="1:10">
      <c r="C10" s="158"/>
      <c r="D10" s="158"/>
    </row>
    <row r="11" spans="1:10">
      <c r="A11" s="1" t="s">
        <v>194</v>
      </c>
      <c r="C11" s="158"/>
      <c r="D11" s="158"/>
    </row>
    <row r="12" spans="1:10">
      <c r="B12" t="s">
        <v>195</v>
      </c>
      <c r="C12" s="158" t="s">
        <v>193</v>
      </c>
      <c r="D12" s="158" t="s">
        <v>205</v>
      </c>
      <c r="E12">
        <f t="shared" ref="E12:J13" ca="1" si="1">RAND()</f>
        <v>0.29436270739345405</v>
      </c>
      <c r="F12">
        <f t="shared" ca="1" si="1"/>
        <v>0.46448422929696265</v>
      </c>
      <c r="G12">
        <f t="shared" ca="1" si="1"/>
        <v>0.27139527512491646</v>
      </c>
      <c r="H12">
        <f t="shared" ca="1" si="1"/>
        <v>7.704341951750493E-2</v>
      </c>
      <c r="I12">
        <f t="shared" ca="1" si="1"/>
        <v>0.57882349270243538</v>
      </c>
      <c r="J12">
        <f t="shared" ca="1" si="1"/>
        <v>0.71269260923419875</v>
      </c>
    </row>
    <row r="13" spans="1:10">
      <c r="B13" t="s">
        <v>196</v>
      </c>
      <c r="C13" s="158" t="s">
        <v>193</v>
      </c>
      <c r="D13" s="158" t="s">
        <v>205</v>
      </c>
      <c r="E13">
        <f t="shared" ca="1" si="1"/>
        <v>7.8740102341355644E-2</v>
      </c>
      <c r="F13">
        <f t="shared" ca="1" si="1"/>
        <v>0.63088431908243692</v>
      </c>
      <c r="G13">
        <f t="shared" ca="1" si="1"/>
        <v>0.57571066867902143</v>
      </c>
      <c r="H13">
        <f t="shared" ca="1" si="1"/>
        <v>0.96946061197606648</v>
      </c>
      <c r="I13">
        <f t="shared" ca="1" si="1"/>
        <v>0.46897511261362923</v>
      </c>
      <c r="J13">
        <f t="shared" ca="1" si="1"/>
        <v>0.31570461782668513</v>
      </c>
    </row>
    <row r="14" spans="1:10" s="119" customFormat="1">
      <c r="B14" s="156" t="s">
        <v>197</v>
      </c>
      <c r="C14" s="158"/>
      <c r="D14" s="158"/>
      <c r="E14" s="156">
        <f ca="1">SUM(E12,E13)</f>
        <v>0.37310280973480969</v>
      </c>
      <c r="F14" s="156">
        <f ca="1">SUM(F12:F13)</f>
        <v>1.0953685483793996</v>
      </c>
      <c r="G14" s="156">
        <f ca="1">SUM(G12:G13)</f>
        <v>0.84710594380393789</v>
      </c>
      <c r="H14" s="156">
        <f ca="1">SUM(H12:H13)</f>
        <v>1.0465040314935714</v>
      </c>
      <c r="I14" s="156">
        <f ca="1">SUM(I12:I13)</f>
        <v>1.0477986053160646</v>
      </c>
      <c r="J14" s="156">
        <f ca="1">SUM((J12:J13))</f>
        <v>1.0283972270608839</v>
      </c>
    </row>
    <row r="15" spans="1:10">
      <c r="B15" t="s">
        <v>198</v>
      </c>
      <c r="C15" s="158" t="s">
        <v>193</v>
      </c>
      <c r="D15" s="158" t="s">
        <v>205</v>
      </c>
    </row>
    <row r="16" spans="1:10">
      <c r="B16" s="1" t="s">
        <v>199</v>
      </c>
      <c r="C16" s="158"/>
      <c r="D16" s="158"/>
    </row>
    <row r="17" spans="1:5">
      <c r="C17" s="158"/>
      <c r="D17" s="158"/>
    </row>
    <row r="18" spans="1:5">
      <c r="A18" t="s">
        <v>210</v>
      </c>
      <c r="C18" s="158" t="s">
        <v>203</v>
      </c>
      <c r="D18" s="158" t="s">
        <v>202</v>
      </c>
      <c r="E18" t="s">
        <v>220</v>
      </c>
    </row>
    <row r="19" spans="1:5">
      <c r="B19" t="s">
        <v>201</v>
      </c>
      <c r="C19" s="158" t="s">
        <v>203</v>
      </c>
      <c r="D19" s="158" t="s">
        <v>202</v>
      </c>
      <c r="E19" t="s">
        <v>220</v>
      </c>
    </row>
    <row r="20" spans="1:5">
      <c r="B20" t="s">
        <v>200</v>
      </c>
      <c r="C20" s="158" t="s">
        <v>203</v>
      </c>
      <c r="D20" s="158" t="s">
        <v>202</v>
      </c>
      <c r="E20" t="s">
        <v>220</v>
      </c>
    </row>
    <row r="21" spans="1:5">
      <c r="B21" t="s">
        <v>200</v>
      </c>
      <c r="C21" s="158" t="s">
        <v>203</v>
      </c>
      <c r="D21" s="158" t="s">
        <v>202</v>
      </c>
      <c r="E21" t="s">
        <v>220</v>
      </c>
    </row>
    <row r="22" spans="1:5">
      <c r="B22" t="s">
        <v>201</v>
      </c>
      <c r="C22" s="158" t="s">
        <v>203</v>
      </c>
      <c r="D22" s="158" t="s">
        <v>202</v>
      </c>
      <c r="E22" t="s">
        <v>220</v>
      </c>
    </row>
    <row r="23" spans="1:5">
      <c r="B23" t="s">
        <v>200</v>
      </c>
      <c r="C23" s="158" t="s">
        <v>203</v>
      </c>
      <c r="D23" s="158" t="s">
        <v>202</v>
      </c>
      <c r="E23" t="s">
        <v>220</v>
      </c>
    </row>
    <row r="24" spans="1:5">
      <c r="B24" t="s">
        <v>200</v>
      </c>
      <c r="C24" s="158" t="s">
        <v>203</v>
      </c>
      <c r="D24" s="158" t="s">
        <v>202</v>
      </c>
      <c r="E24" t="s">
        <v>220</v>
      </c>
    </row>
    <row r="25" spans="1:5">
      <c r="A25" s="1" t="s">
        <v>212</v>
      </c>
      <c r="C25" s="158"/>
      <c r="D25" s="158"/>
      <c r="E25" t="s">
        <v>220</v>
      </c>
    </row>
    <row r="26" spans="1:5">
      <c r="C26" s="158"/>
      <c r="D26" s="158"/>
    </row>
    <row r="27" spans="1:5">
      <c r="A27" t="s">
        <v>211</v>
      </c>
      <c r="C27" s="158" t="s">
        <v>203</v>
      </c>
      <c r="D27" s="158" t="s">
        <v>202</v>
      </c>
      <c r="E27" t="s">
        <v>220</v>
      </c>
    </row>
    <row r="28" spans="1:5">
      <c r="B28" t="s">
        <v>201</v>
      </c>
      <c r="C28" s="158" t="s">
        <v>203</v>
      </c>
      <c r="D28" s="158" t="s">
        <v>202</v>
      </c>
      <c r="E28" t="s">
        <v>220</v>
      </c>
    </row>
    <row r="29" spans="1:5">
      <c r="B29" t="s">
        <v>200</v>
      </c>
      <c r="C29" s="158" t="s">
        <v>203</v>
      </c>
      <c r="D29" s="158" t="s">
        <v>202</v>
      </c>
      <c r="E29" t="s">
        <v>220</v>
      </c>
    </row>
    <row r="30" spans="1:5">
      <c r="B30" t="s">
        <v>200</v>
      </c>
      <c r="C30" s="158" t="s">
        <v>203</v>
      </c>
      <c r="D30" s="158" t="s">
        <v>202</v>
      </c>
      <c r="E30" t="s">
        <v>220</v>
      </c>
    </row>
    <row r="31" spans="1:5">
      <c r="B31" t="s">
        <v>201</v>
      </c>
      <c r="C31" s="158" t="s">
        <v>203</v>
      </c>
      <c r="D31" s="158" t="s">
        <v>202</v>
      </c>
      <c r="E31" t="s">
        <v>220</v>
      </c>
    </row>
    <row r="32" spans="1:5">
      <c r="B32" t="s">
        <v>200</v>
      </c>
      <c r="C32" s="158" t="s">
        <v>203</v>
      </c>
      <c r="D32" s="158" t="s">
        <v>202</v>
      </c>
      <c r="E32" t="s">
        <v>220</v>
      </c>
    </row>
    <row r="33" spans="1:5">
      <c r="B33" t="s">
        <v>200</v>
      </c>
      <c r="C33" s="158" t="s">
        <v>203</v>
      </c>
      <c r="D33" s="158" t="s">
        <v>202</v>
      </c>
      <c r="E33" t="s">
        <v>220</v>
      </c>
    </row>
    <row r="34" spans="1:5">
      <c r="A34" s="1" t="s">
        <v>213</v>
      </c>
      <c r="C34" s="158"/>
      <c r="D34" s="158"/>
      <c r="E34" t="s">
        <v>220</v>
      </c>
    </row>
    <row r="36" spans="1:5">
      <c r="A36" s="1" t="s">
        <v>214</v>
      </c>
    </row>
  </sheetData>
  <mergeCells count="6">
    <mergeCell ref="E2:F2"/>
    <mergeCell ref="E1:F1"/>
    <mergeCell ref="G1:H1"/>
    <mergeCell ref="G2:H2"/>
    <mergeCell ref="I1:J1"/>
    <mergeCell ref="I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Consolidated P&amp;L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mbalcita</dc:creator>
  <cp:lastModifiedBy>mbalcita</cp:lastModifiedBy>
  <dcterms:created xsi:type="dcterms:W3CDTF">2012-04-12T03:27:07Z</dcterms:created>
  <dcterms:modified xsi:type="dcterms:W3CDTF">2012-04-12T05:30:33Z</dcterms:modified>
</cp:coreProperties>
</file>